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ORIA\"/>
    </mc:Choice>
  </mc:AlternateContent>
  <workbookProtection workbookAlgorithmName="SHA-512" workbookHashValue="mc4uaDQoFOQOV9CdMOyWOZncUazULph8NwjgTWh6HWZb7S5md3jjbyYCY4Q5N2wID1ZyrYcpYfH66ns/I8e4OA==" workbookSaltValue="Cslv17Fhiac55W2Q/MN/k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F18" i="8" l="1"/>
  <c r="J18" i="7" s="1"/>
  <c r="B19"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BI20" i="26" l="1"/>
  <c r="F19" i="2"/>
  <c r="BL21" i="26"/>
  <c r="BE13" i="8"/>
  <c r="J9" i="12"/>
  <c r="BD19" i="13"/>
  <c r="K12" i="12"/>
  <c r="J12" i="12"/>
  <c r="S16" i="16"/>
  <c r="BW16" i="27"/>
  <c r="P16" i="17"/>
  <c r="AP16" i="20"/>
  <c r="BV16" i="16"/>
  <c r="BH16" i="16"/>
  <c r="T16" i="16"/>
  <c r="AP16" i="27"/>
  <c r="BU16" i="17"/>
  <c r="Q16" i="17"/>
  <c r="BV16" i="26"/>
  <c r="BH16" i="26"/>
  <c r="T16" i="26"/>
  <c r="BM16" i="11"/>
  <c r="BK16" i="11"/>
  <c r="BI16" i="11"/>
  <c r="BG16" i="11"/>
  <c r="V16" i="11"/>
  <c r="S16" i="26"/>
  <c r="BL16" i="11"/>
  <c r="BJ16" i="11"/>
  <c r="BH16" i="11"/>
  <c r="BF16" i="11"/>
  <c r="L16" i="2"/>
  <c r="R16" i="14"/>
  <c r="AZ16" i="11"/>
  <c r="X16" i="26"/>
  <c r="V16" i="27"/>
  <c r="V16" i="20"/>
  <c r="S16" i="17"/>
  <c r="V16" i="16"/>
  <c r="AM16" i="11"/>
  <c r="AO16" i="17"/>
  <c r="T16" i="11"/>
  <c r="V16" i="26"/>
  <c r="S16" i="14"/>
  <c r="V16" i="14" s="1"/>
  <c r="U16" i="17"/>
  <c r="X16" i="16"/>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P16" i="11"/>
  <c r="Q16" i="11"/>
  <c r="S19" i="26"/>
  <c r="S20" i="26" s="1"/>
  <c r="T19" i="26"/>
  <c r="T20" i="26" s="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<sst xmlns="http://schemas.openxmlformats.org/spreadsheetml/2006/main" count="2527" uniqueCount="1027">
  <si>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</si>
  <si>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</si>
  <si>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</si>
  <si>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</si>
  <si>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</si>
  <si>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</si>
  <si>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</si>
  <si>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</si>
  <si>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</si>
  <si>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</si>
  <si>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</si>
  <si>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</si>
  <si>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</si>
  <si>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</si>
  <si>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</si>
  <si>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</si>
  <si>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</si>
  <si>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</si>
  <si>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</si>
  <si>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</si>
  <si>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</si>
  <si>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</si>
  <si>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</si>
  <si>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</si>
  <si>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</si>
  <si>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</si>
  <si>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</si>
  <si>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</si>
  <si>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</si>
  <si>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</si>
  <si>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</si>
  <si>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</si>
  <si>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</si>
  <si>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</si>
  <si>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</si>
  <si>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</si>
  <si>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</si>
  <si>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</si>
  <si>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</si>
  <si>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</si>
  <si>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</si>
  <si>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</si>
  <si>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</si>
  <si>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</si>
  <si>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</si>
  <si>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</si>
  <si>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</si>
  <si>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</si>
  <si>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</si>
  <si>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</si>
  <si>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</si>
  <si>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</si>
  <si>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</si>
  <si>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</si>
  <si>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</si>
  <si>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</si>
  <si>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</si>
  <si>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</si>
  <si>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</si>
  <si>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</si>
  <si>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</si>
  <si>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</si>
  <si>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</si>
  <si>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</si>
  <si>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</si>
  <si>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</si>
  <si>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</si>
  <si>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</si>
  <si>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</si>
  <si>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</si>
  <si>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</si>
  <si>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</si>
  <si>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</si>
  <si>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</si>
  <si>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</si>
  <si>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</si>
  <si>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</si>
  <si>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</si>
  <si>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</si>
  <si>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</si>
  <si>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</si>
  <si>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</si>
  <si>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</si>
  <si>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</si>
  <si>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</si>
  <si>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</si>
  <si>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</si>
  <si>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</si>
  <si>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</si>
  <si>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</si>
  <si>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</si>
  <si>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</si>
  <si>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</si>
  <si>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</si>
  <si>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</si>
  <si>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</si>
  <si>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</si>
  <si>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</si>
  <si>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</si>
  <si>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</si>
  <si>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</si>
  <si>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</si>
  <si>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</si>
  <si>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</si>
  <si>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</si>
  <si>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</si>
  <si>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</si>
  <si>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</si>
  <si>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</si>
  <si>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</si>
  <si>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</si>
  <si>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</si>
  <si>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</si>
  <si>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</si>
  <si>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</si>
  <si>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</si>
  <si>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</si>
  <si>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</si>
  <si>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</si>
  <si>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</si>
  <si>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</si>
  <si>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</si>
  <si>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</si>
  <si>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</si>
  <si>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</si>
  <si>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</si>
  <si>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</si>
  <si>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</si>
  <si>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</si>
  <si>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</si>
  <si>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</si>
  <si>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</si>
  <si>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</si>
  <si>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</si>
  <si>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</si>
  <si>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</si>
  <si>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</si>
  <si>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</si>
  <si>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</si>
  <si>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</si>
  <si>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</si>
  <si>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</si>
  <si>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</si>
  <si>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</si>
  <si>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</si>
  <si>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</si>
  <si>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</si>
  <si>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</si>
  <si>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</si>
  <si>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</si>
  <si>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</si>
  <si>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</si>
  <si>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</si>
  <si>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</si>
  <si>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</si>
  <si>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</si>
  <si>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</si>
  <si>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</si>
  <si>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</si>
  <si>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</si>
  <si>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</si>
  <si>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</si>
  <si>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</si>
  <si>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</si>
  <si>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</si>
  <si>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</si>
  <si>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</si>
  <si>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</si>
  <si>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</si>
  <si>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</si>
  <si>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</si>
  <si>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</si>
  <si>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</si>
  <si>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</si>
  <si>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</si>
  <si>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</si>
  <si>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</si>
  <si>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</si>
  <si>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</si>
  <si>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</si>
  <si>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</si>
  <si>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</si>
  <si>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</si>
  <si>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</si>
  <si>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</si>
  <si>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</si>
  <si>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</si>
  <si>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</si>
  <si>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</si>
  <si>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</si>
  <si>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</si>
  <si>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</si>
  <si>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</si>
  <si>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</si>
  <si>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</si>
  <si>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</si>
  <si>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</si>
  <si>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</si>
  <si>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</si>
  <si>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</si>
  <si>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</si>
  <si>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</si>
  <si>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</si>
  <si>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</si>
  <si>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</si>
  <si>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</si>
  <si>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</si>
  <si>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</si>
  <si>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</si>
  <si>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</si>
  <si>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</si>
  <si>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</si>
  <si>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</si>
  <si>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</si>
  <si>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</si>
  <si>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</si>
  <si>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</si>
  <si>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</si>
  <si>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</si>
  <si>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</si>
  <si>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</si>
  <si>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</si>
  <si>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</si>
  <si>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</si>
  <si>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</si>
  <si>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</si>
  <si>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</si>
  <si>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</si>
  <si>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</si>
  <si>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</si>
  <si>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</si>
  <si>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</si>
  <si>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</si>
  <si>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</si>
  <si>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</si>
  <si>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</si>
  <si>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</si>
  <si>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</si>
  <si>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</si>
  <si>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</si>
  <si>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</si>
  <si>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</si>
  <si>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</si>
  <si>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</si>
  <si>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</si>
  <si>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</si>
  <si>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</si>
  <si>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</si>
  <si>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</si>
  <si>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</si>
  <si>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</si>
  <si>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</si>
  <si>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</si>
  <si>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</si>
  <si>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</si>
  <si>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</si>
  <si>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</si>
  <si>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</si>
  <si>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</si>
  <si>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</si>
  <si>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</si>
  <si>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</si>
  <si>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</si>
  <si>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</si>
  <si>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</si>
  <si>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</si>
  <si>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</si>
  <si>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</si>
  <si>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</si>
  <si>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</si>
  <si>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</si>
  <si>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</si>
  <si>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</si>
  <si>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</si>
  <si>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</si>
  <si>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</si>
  <si>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</si>
  <si>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</si>
  <si>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</si>
  <si>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</si>
  <si>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</si>
  <si>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</si>
  <si>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</si>
  <si>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</si>
  <si>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</si>
  <si>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</si>
  <si>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</si>
  <si>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</si>
  <si>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</si>
  <si>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</si>
  <si>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</si>
  <si>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</si>
  <si>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</si>
  <si>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</si>
  <si>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</si>
  <si>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</si>
  <si>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</si>
  <si>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</si>
  <si>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</si>
  <si>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</si>
  <si>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</si>
  <si>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</si>
  <si>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</si>
  <si>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</si>
  <si>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</si>
  <si>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</si>
  <si>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</si>
  <si>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</si>
  <si>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</si>
  <si>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</si>
  <si>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</si>
  <si>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</si>
  <si>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</si>
  <si>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</si>
  <si>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</si>
  <si>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</si>
  <si>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</si>
  <si>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</si>
  <si>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</si>
  <si>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</si>
  <si>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</si>
  <si>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</si>
  <si>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</si>
  <si>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</si>
  <si>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</si>
  <si>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</si>
  <si>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</si>
  <si>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</si>
  <si>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</si>
  <si>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</si>
  <si>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</si>
  <si>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</si>
  <si>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</si>
  <si>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</si>
  <si>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</si>
  <si>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</si>
  <si>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</si>
  <si>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</si>
  <si>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</si>
  <si>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</si>
  <si>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</si>
  <si>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</si>
  <si>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</si>
  <si>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</si>
  <si>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</si>
  <si>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</si>
  <si>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</si>
  <si>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</si>
  <si>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</si>
  <si>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</si>
  <si>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</si>
  <si>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</si>
  <si>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</si>
  <si>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</si>
  <si>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</si>
  <si>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</si>
  <si>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</si>
  <si>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</si>
  <si>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</si>
  <si>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</si>
  <si>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</si>
  <si>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</si>
  <si>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</si>
  <si>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</si>
  <si>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</si>
  <si>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</si>
  <si>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</si>
  <si>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</si>
  <si>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</si>
  <si>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</si>
  <si>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</si>
  <si>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</si>
  <si>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</si>
  <si>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</si>
  <si>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</si>
  <si>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</si>
  <si>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</si>
  <si>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</si>
  <si>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</si>
  <si>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</si>
  <si>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</si>
  <si>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</si>
  <si>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</si>
  <si>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</si>
  <si>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</si>
  <si>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</si>
  <si>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</si>
  <si>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</si>
  <si>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</si>
  <si>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</si>
  <si>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</si>
  <si>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</si>
  <si>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</si>
  <si>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</si>
  <si>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</si>
  <si>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</si>
  <si>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</si>
  <si>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</si>
  <si>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</si>
  <si>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</si>
  <si>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</si>
  <si>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</si>
  <si>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</si>
  <si>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</si>
  <si>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</si>
  <si>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</si>
  <si>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</si>
  <si>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</si>
  <si>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</si>
  <si>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</si>
  <si>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</si>
  <si>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</si>
  <si>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</si>
  <si>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</si>
  <si>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</si>
  <si>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</si>
  <si>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</si>
  <si>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</si>
  <si>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</si>
  <si>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</si>
  <si>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</si>
  <si>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</si>
  <si>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</si>
  <si>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</si>
  <si>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</si>
  <si>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</si>
  <si>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</si>
  <si>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</si>
  <si>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</si>
  <si>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</si>
  <si>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</si>
  <si>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</si>
  <si>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</si>
  <si>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</si>
  <si>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</si>
  <si>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</si>
  <si>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</si>
  <si>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</si>
  <si>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</si>
  <si>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</si>
  <si>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</si>
  <si>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</si>
  <si>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</si>
  <si>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</si>
  <si>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</si>
  <si>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</si>
  <si>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</si>
  <si>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</si>
  <si>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</si>
  <si>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</si>
  <si>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</si>
  <si>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</si>
  <si>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</si>
  <si>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</si>
  <si>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</si>
  <si>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</si>
  <si>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</si>
  <si>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</si>
  <si>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</si>
  <si>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</si>
  <si>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</si>
  <si>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</si>
  <si>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</si>
  <si>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</si>
  <si>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</si>
  <si>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</si>
  <si>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</si>
  <si>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</si>
  <si>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</si>
  <si>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</si>
  <si>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</si>
  <si>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</si>
  <si>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</si>
  <si>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</si>
  <si>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</si>
  <si>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</si>
  <si>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</si>
  <si>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</si>
  <si>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</si>
  <si>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</si>
  <si>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</si>
  <si>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</si>
  <si>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</si>
  <si>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</si>
  <si>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</si>
  <si>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</si>
  <si>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</si>
  <si>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</si>
  <si>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</si>
  <si>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</si>
  <si>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</si>
  <si>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</si>
  <si>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</si>
  <si>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</si>
  <si>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</si>
  <si>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</si>
  <si>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</si>
  <si>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</si>
  <si>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</si>
  <si>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</si>
  <si>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</si>
  <si>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</si>
  <si>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</si>
  <si>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</si>
  <si>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</si>
  <si>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</si>
  <si>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</si>
  <si>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</si>
  <si>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</si>
  <si>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</si>
  <si>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</si>
  <si>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</si>
  <si>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</si>
  <si>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</si>
  <si>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</si>
  <si>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</si>
  <si>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</si>
  <si>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</si>
  <si>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</si>
  <si>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</si>
  <si>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</si>
  <si>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</si>
  <si>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</si>
  <si>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</si>
  <si>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</si>
  <si>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</si>
  <si>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</si>
  <si>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</si>
  <si>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</si>
  <si>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</si>
  <si>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</si>
  <si>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</si>
  <si>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</si>
  <si>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</si>
  <si>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</si>
  <si>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</si>
  <si>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</si>
  <si>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</si>
  <si>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</si>
  <si>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</si>
  <si>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</si>
  <si>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</si>
  <si>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</si>
  <si>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</si>
  <si>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</si>
  <si>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</si>
  <si>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</si>
  <si>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</si>
  <si>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</si>
  <si>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</si>
  <si>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</si>
  <si>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</si>
  <si>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</si>
  <si>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</si>
  <si>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</si>
  <si>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</si>
  <si>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</si>
  <si>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</si>
  <si>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</si>
  <si>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</si>
  <si>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</si>
  <si>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</si>
  <si>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</si>
  <si>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</si>
  <si>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</si>
  <si>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</si>
  <si>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</si>
  <si>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</si>
  <si>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</si>
  <si>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</si>
  <si>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</si>
  <si>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</si>
  <si>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</si>
  <si>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</si>
  <si>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</si>
  <si>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</si>
  <si>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</si>
  <si>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</si>
  <si>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</si>
  <si>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</si>
  <si>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</si>
  <si>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</si>
  <si>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</si>
  <si>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</si>
  <si>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</si>
  <si>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</si>
  <si>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</si>
  <si>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</si>
  <si>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</si>
  <si>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</si>
  <si>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</si>
  <si>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</si>
  <si>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</si>
  <si>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</si>
  <si>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</si>
  <si>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</si>
  <si>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</si>
  <si>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</si>
  <si>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</si>
  <si>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</si>
  <si>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</si>
  <si>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</si>
  <si>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</si>
  <si>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</si>
  <si>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</si>
  <si>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</si>
  <si>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</si>
  <si>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</si>
  <si>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</si>
  <si>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</si>
  <si>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</si>
  <si>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</si>
  <si>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</si>
  <si>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</si>
  <si>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</si>
  <si>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</si>
  <si>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</si>
  <si>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</si>
  <si>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</si>
  <si>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</si>
  <si>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</si>
  <si>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</si>
  <si>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</si>
  <si>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</si>
  <si>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</si>
  <si>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</si>
  <si>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</si>
  <si>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</si>
  <si>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</si>
  <si>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</si>
  <si>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</si>
  <si>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</si>
  <si>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</si>
  <si>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</si>
  <si>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</si>
  <si>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</si>
  <si>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</si>
  <si>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</si>
  <si>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</si>
  <si>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</si>
  <si>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</si>
  <si>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</si>
  <si>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</si>
  <si>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</si>
  <si>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</si>
  <si>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</si>
  <si>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</si>
  <si>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</si>
  <si>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</si>
  <si>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</si>
  <si>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</si>
  <si>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</si>
  <si>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</si>
  <si>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</si>
  <si>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</si>
  <si>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</si>
  <si>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</si>
  <si>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</si>
  <si>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</si>
  <si>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</si>
  <si>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</si>
  <si>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</si>
  <si>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</si>
  <si>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</si>
  <si>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</si>
  <si>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</si>
  <si>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</si>
  <si>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</si>
  <si>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</si>
  <si>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</si>
  <si>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</si>
  <si>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</si>
  <si>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</si>
  <si>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</si>
  <si>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</si>
  <si>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</si>
  <si>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</si>
  <si>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</si>
  <si>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</si>
  <si>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</si>
  <si>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</si>
  <si>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</si>
  <si>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</si>
  <si>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</si>
  <si>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</si>
  <si>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</si>
  <si>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</si>
  <si>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</si>
  <si>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</si>
  <si>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</si>
  <si>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</si>
  <si>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</si>
  <si>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</si>
  <si>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</si>
  <si>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</si>
  <si>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</si>
  <si>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</si>
  <si>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</si>
  <si>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</si>
  <si>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</si>
  <si>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</si>
  <si>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</si>
  <si>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</si>
  <si>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</si>
  <si>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</si>
  <si>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</si>
  <si>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</si>
  <si>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</si>
  <si>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</si>
  <si>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</si>
  <si>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</si>
  <si>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</si>
  <si>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</si>
  <si>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</si>
  <si>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</si>
  <si>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</si>
  <si>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</si>
  <si>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</si>
  <si>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</si>
  <si>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</si>
  <si>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</si>
  <si>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</si>
  <si>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</si>
  <si>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</si>
  <si>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</si>
  <si>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</si>
  <si>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</si>
  <si>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</si>
  <si>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</si>
  <si>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</si>
  <si>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</si>
  <si>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</si>
  <si>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</si>
  <si>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</si>
  <si>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</si>
  <si>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</si>
  <si>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</si>
  <si>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</si>
  <si>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</si>
  <si>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</si>
  <si>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</si>
  <si>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</si>
  <si>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</si>
  <si>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</si>
  <si>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</si>
  <si>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</si>
  <si>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</si>
  <si>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</si>
  <si>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</si>
  <si>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</si>
  <si>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</si>
  <si>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</si>
  <si>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</si>
  <si>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</si>
  <si>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</si>
  <si>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</si>
  <si>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</si>
  <si>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</si>
  <si>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</si>
  <si>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</si>
  <si>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</si>
  <si>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</si>
  <si>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</si>
  <si>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</si>
  <si>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</si>
  <si>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</si>
  <si>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</si>
  <si>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</si>
  <si>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</si>
  <si>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</si>
  <si>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</si>
  <si>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</si>
  <si>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</si>
  <si>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</si>
  <si>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</si>
  <si>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</si>
  <si>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</si>
  <si>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</si>
  <si>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</si>
  <si>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</si>
  <si>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</si>
  <si>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</si>
  <si>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</si>
  <si>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</si>
  <si>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</si>
  <si>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</si>
  <si>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</si>
  <si>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</si>
  <si>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</si>
  <si>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</si>
  <si>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</si>
  <si>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</si>
  <si>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</si>
  <si>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</si>
  <si>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</si>
  <si>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</si>
  <si>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</si>
  <si>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</si>
  <si>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</si>
  <si>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</si>
  <si>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</si>
  <si>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</si>
  <si>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</si>
  <si>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</si>
  <si>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</si>
  <si>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</si>
  <si>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</si>
  <si>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</si>
  <si>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</si>
  <si>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</si>
  <si>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</si>
  <si>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</si>
  <si>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</si>
  <si>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</si>
  <si>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</si>
  <si>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</si>
  <si>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</si>
  <si>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</si>
  <si>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</si>
  <si>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</si>
  <si>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</si>
  <si>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</si>
  <si>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</si>
  <si>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</si>
  <si>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</si>
  <si>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</si>
  <si>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</si>
  <si>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</si>
  <si>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</si>
  <si>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</si>
  <si>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</si>
  <si>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</si>
  <si>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</si>
  <si>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</si>
  <si>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</si>
  <si>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</si>
  <si>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</si>
  <si>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</si>
  <si>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</si>
  <si>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</si>
  <si>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</si>
  <si>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</si>
  <si>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</si>
  <si>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</si>
  <si>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</si>
  <si>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</si>
  <si>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</si>
  <si>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</si>
  <si>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</si>
  <si>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</si>
  <si>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</si>
  <si>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</si>
  <si>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</si>
  <si>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</si>
  <si>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</si>
  <si>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</si>
  <si>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</si>
  <si>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</si>
  <si>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</si>
  <si>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</si>
  <si>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</si>
  <si>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</si>
  <si>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</si>
  <si>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</si>
  <si>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</si>
  <si>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</si>
  <si>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</si>
  <si>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</si>
  <si>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</si>
  <si>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</si>
  <si>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</si>
  <si>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</si>
  <si>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</si>
  <si>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</si>
  <si>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</si>
  <si>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</si>
  <si>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</si>
  <si>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</si>
  <si>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</si>
  <si>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</si>
  <si>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</si>
  <si>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</si>
  <si>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</si>
  <si>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</si>
  <si>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</si>
  <si>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</si>
  <si>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</si>
  <si>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</si>
  <si>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</si>
  <si>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</si>
  <si>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</si>
  <si>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</si>
  <si>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</si>
  <si>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</si>
  <si>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</si>
  <si>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</si>
  <si>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</si>
  <si>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</si>
  <si>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</si>
  <si>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</si>
  <si>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</si>
  <si>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</si>
  <si>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</si>
  <si>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</si>
  <si>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</si>
  <si>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</si>
  <si>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</si>
  <si>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</si>
  <si>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</si>
  <si>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</si>
  <si>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</si>
  <si>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</si>
  <si>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</si>
  <si>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</si>
  <si>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</si>
  <si>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</si>
  <si>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</si>
  <si>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</si>
  <si>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</si>
  <si>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</si>
  <si>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</si>
  <si>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</si>
  <si>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</si>
  <si>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</si>
  <si>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</si>
  <si>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</si>
  <si>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</si>
  <si>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</si>
  <si>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</si>
  <si>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</si>
  <si>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</si>
  <si>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</si>
  <si>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</si>
  <si>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</si>
  <si>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</si>
  <si>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</si>
  <si>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</si>
  <si>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</si>
  <si>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</si>
  <si>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</si>
  <si>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</si>
  <si>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</si>
  <si>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</si>
  <si>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</si>
  <si>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</si>
  <si>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</si>
  <si>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</si>
  <si>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</si>
  <si>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</si>
  <si>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</si>
  <si>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</si>
  <si>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</si>
  <si>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</si>
  <si>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</si>
  <si>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</si>
  <si>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</si>
  <si>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</si>
  <si>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</si>
  <si>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</si>
  <si>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</si>
  <si>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</si>
  <si>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</si>
  <si>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</si>
  <si>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</si>
  <si>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</si>
  <si>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</si>
  <si>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</si>
  <si>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</si>
  <si>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</si>
  <si>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</si>
  <si>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</si>
  <si>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</si>
  <si>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</si>
  <si>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</si>
  <si>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</si>
  <si>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</si>
  <si>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</si>
  <si>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</si>
  <si>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</si>
  <si>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</si>
  <si>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</si>
  <si>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</si>
  <si>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</si>
  <si>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</si>
  <si>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</si>
  <si>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</si>
  <si>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</si>
  <si>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</si>
  <si>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</si>
  <si>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</si>
  <si>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</si>
  <si>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</si>
  <si>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</si>
  <si>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</si>
  <si>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</si>
  <si>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</si>
  <si>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</si>
  <si>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</si>
  <si>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</si>
  <si>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</si>
  <si>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</si>
  <si>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</si>
  <si>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</si>
  <si>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</si>
  <si>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</si>
  <si>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</si>
  <si>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</si>
  <si>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</si>
  <si>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</si>
  <si>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</si>
  <si>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</si>
  <si>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</si>
  <si>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</si>
  <si>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</si>
  <si>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</si>
  <si>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</si>
  <si>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</si>
  <si>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</si>
  <si>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</si>
  <si>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</si>
  <si>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</si>
  <si>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</si>
  <si>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</si>
  <si>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</si>
  <si>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SORIA</t>
  </si>
  <si>
    <t>Resumenes por Partidos Judiciales</t>
  </si>
  <si>
    <t>ALMAZAN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</si>
</sst>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9O82C46ejR+VH3EVTKqmiM/AQCqHLFeO6RCaIlU0Tfx6EoDUiCSkPlqDHpLx6A5G26MhUI5Apzk6tjN0+6amNg==" saltValue="MX8AlMFfyt2u0XoppW1eW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SORIA</v>
      </c>
      <c r="D3" s="374"/>
      <c r="E3" s="374"/>
      <c r="F3" s="374"/>
      <c r="BQ3" s="470"/>
    </row>
    <row r="4" spans="1:69" ht="13.5" thickBot="1">
      <c r="A4" s="374"/>
      <c r="B4" s="390" t="str">
        <f>Criterios!A11 &amp;"  "&amp;Criterios!B11</f>
        <v>Resumenes por Partidos Judiciales  ALMAZAN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1</v>
      </c>
      <c r="F10" s="403">
        <f>IF(ISNUMBER(E10/B10),E10/B10," - ")</f>
        <v>1</v>
      </c>
      <c r="G10" s="402">
        <f>IF(ISNUMBER(Datos!K10),Datos!K10," - ")</f>
        <v>0</v>
      </c>
      <c r="H10" s="403">
        <f>IF(ISNUMBER(G10/B10),G10/B10," - ")</f>
        <v>0</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194</v>
      </c>
      <c r="D12" s="403">
        <f>IF(ISNUMBER(C12/Datos!BH12),C12/Datos!BH12," - ")</f>
        <v>194</v>
      </c>
      <c r="E12" s="402">
        <f>IF(ISNUMBER(IF(J_V="SI",Datos!J12,Datos!J12+Datos!Z12)),IF(J_V="SI",Datos!J12,Datos!J12+Datos!Z12)," - ")</f>
        <v>103</v>
      </c>
      <c r="F12" s="403">
        <f>IF(ISNUMBER(E12/B12),E12/B12," - ")</f>
        <v>103</v>
      </c>
      <c r="G12" s="402">
        <f>IF(ISNUMBER(IF(J_V="SI",Datos!K12,Datos!K12+Datos!AA12)),IF(J_V="SI",Datos!K12,Datos!K12+Datos!AA12)," - ")</f>
        <v>60</v>
      </c>
      <c r="H12" s="403">
        <f>IF(ISNUMBER(G12/B12),G12/B12," - ")</f>
        <v>60</v>
      </c>
      <c r="I12" s="402">
        <f>IF(ISNUMBER(IF(J_V="SI",Datos!L12,Datos!L12+Datos!AB12)),IF(J_V="SI",Datos!L12,Datos!L12+Datos!AB12)," - ")</f>
        <v>237</v>
      </c>
      <c r="J12" s="403">
        <f>IF(ISNUMBER(I12/B12),I12/B12," - ")</f>
        <v>237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194</v>
      </c>
      <c r="D13" s="847" t="str">
        <f>IF(ISNUMBER(C13/Datos!BI13),C13/Datos!BI13," - ")</f>
        <v xml:space="preserve"> - </v>
      </c>
      <c r="E13" s="846">
        <f>SUBTOTAL(9,E8:E12)</f>
        <v>104</v>
      </c>
      <c r="F13" s="847">
        <f>IF(ISNUMBER(E13/B13),E13/B13," - ")</f>
        <v>104</v>
      </c>
      <c r="G13" s="846">
        <f>SUBTOTAL(9,G8:G12)</f>
        <v>60</v>
      </c>
      <c r="H13" s="847">
        <f>IF(ISNUMBER(G13/B13),G13/B13," - ")</f>
        <v>60</v>
      </c>
      <c r="I13" s="846">
        <f>SUBTOTAL(9,I8:I12)</f>
        <v>238</v>
      </c>
      <c r="J13" s="847">
        <f>IF(ISNUMBER(I13/B13),I13/B13," - ")</f>
        <v>238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236</v>
      </c>
      <c r="D17" s="403">
        <f>IF(ISNUMBER(C17/Datos!BH17),C17/Datos!BH17," - ")</f>
        <v>236</v>
      </c>
      <c r="E17" s="402">
        <f>IF(ISNUMBER(IF(D_I="SI",Datos!J17,Datos!J17+Datos!AD17)),IF(D_I="SI",Datos!J17,Datos!J17+Datos!AD17)," - ")</f>
        <v>176</v>
      </c>
      <c r="F17" s="403">
        <f>IF(ISNUMBER(E17/B17),E17/B17," - ")</f>
        <v>176</v>
      </c>
      <c r="G17" s="402">
        <f>IF(ISNUMBER(IF(D_I="SI",Datos!K17,Datos!K17+Datos!AE17)),IF(D_I="SI",Datos!K17,Datos!K17+Datos!AE17)," - ")</f>
        <v>151</v>
      </c>
      <c r="H17" s="403">
        <f>IF(ISNUMBER(G17/B17),G17/B17," - ")</f>
        <v>151</v>
      </c>
      <c r="I17" s="402">
        <f>IF(ISNUMBER(IF(D_I="SI",Datos!L17,Datos!L17+Datos!AF17)),IF(D_I="SI",Datos!L17,Datos!L17+Datos!AF17)," - ")</f>
        <v>269</v>
      </c>
      <c r="J17" s="403">
        <f>IF(ISNUMBER(I17/B17),I17/B17," - ")</f>
        <v>269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15</v>
      </c>
      <c r="D18" s="403">
        <f>IF(ISNUMBER(C18/Datos!BH18),C18/Datos!BH18," - ")</f>
        <v>15</v>
      </c>
      <c r="E18" s="402">
        <f>IF(ISNUMBER(IF(D_I="SI",Datos!J18,Datos!J18+Datos!AD18)),IF(D_I="SI",Datos!J18,Datos!J18+Datos!AD18)," - ")</f>
        <v>18</v>
      </c>
      <c r="F18" s="403">
        <f>IF(ISNUMBER(E18/B18),E18/B18," - ")</f>
        <v>18</v>
      </c>
      <c r="G18" s="402">
        <f>IF(ISNUMBER(IF(D_I="SI",Datos!K18,Datos!K18+Datos!AE18)),IF(D_I="SI",Datos!K18,Datos!K18+Datos!AE18)," - ")</f>
        <v>13</v>
      </c>
      <c r="H18" s="403">
        <f>IF(ISNUMBER(G18/B18),G18/B18," - ")</f>
        <v>13</v>
      </c>
      <c r="I18" s="402">
        <f>IF(ISNUMBER(IF(D_I="SI",Datos!L18,Datos!L18+Datos!AF18)),IF(D_I="SI",Datos!L18,Datos!L18+Datos!AF18)," - ")</f>
        <v>19</v>
      </c>
      <c r="J18" s="403">
        <f>IF(ISNUMBER(I18/B18),I18/B18," - ")</f>
        <v>19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251</v>
      </c>
      <c r="D19" s="847" t="str">
        <f>IF(ISNUMBER(C19/Datos!BI19),C19/Datos!BI19," - ")</f>
        <v xml:space="preserve"> - </v>
      </c>
      <c r="E19" s="846">
        <f>SUBTOTAL(9,E14:E18)</f>
        <v>194</v>
      </c>
      <c r="F19" s="847">
        <f>IF(ISNUMBER(E19/B19),E19/B19," - ")</f>
        <v>194</v>
      </c>
      <c r="G19" s="846">
        <f>SUBTOTAL(9,G14:G18)</f>
        <v>164</v>
      </c>
      <c r="H19" s="847">
        <f>IF(ISNUMBER(G19/B19),G19/B19," - ")</f>
        <v>164</v>
      </c>
      <c r="I19" s="846">
        <f>SUBTOTAL(9,I14:I18)</f>
        <v>288</v>
      </c>
      <c r="J19" s="847">
        <f>IF(ISNUMBER(I19/B19),I19/B19," - ")</f>
        <v>288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445</v>
      </c>
      <c r="D20" s="792" t="str">
        <f>IF(ISNUMBER(C20/Datos!BI20),C20/Datos!BI20," - ")</f>
        <v xml:space="preserve"> - </v>
      </c>
      <c r="E20" s="791">
        <f>SUBTOTAL(9,E9:E19)</f>
        <v>298</v>
      </c>
      <c r="F20" s="792">
        <f>IF(ISNUMBER(E20/B20),E20/B20," - ")</f>
        <v>298</v>
      </c>
      <c r="G20" s="791">
        <f>SUBTOTAL(9,G9:G19)</f>
        <v>224</v>
      </c>
      <c r="H20" s="792">
        <f>IF(ISNUMBER(G20/B20),G20/B20," - ")</f>
        <v>224</v>
      </c>
      <c r="I20" s="791">
        <f>SUBTOTAL(9,I9:I19)</f>
        <v>526</v>
      </c>
      <c r="J20" s="792">
        <f>IF(ISNUMBER(I20/B20),I20/B20," - ")</f>
        <v>526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va5pAAvcu+n6PaCBpcHccuUDyWyEKRIIuHo5gXP/qwMP6Yso2M6xA5PWpqfOTjfWO3Uv4Vp9DQRE3vqS6MDGg==" saltValue="d6TqwN7G1D+fxiS5mFZfQ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SORIA</v>
      </c>
      <c r="C3" s="414"/>
      <c r="F3" s="374"/>
      <c r="G3" s="374"/>
      <c r="H3" s="374"/>
    </row>
    <row r="4" spans="1:15" ht="13.5" thickBot="1">
      <c r="A4" s="374"/>
      <c r="B4" s="390" t="str">
        <f>Criterios!A11 &amp;"  "&amp;Criterios!B11</f>
        <v>Resumenes por Partidos Judiciales  ALMAZAN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AfhSNIhJFKFvsEy/1WZWCynd8J/RU9gNjiOJvLuLuLNewgbAOTqw+9/zG7wFXaR+BUsqNQj4t7PKEvaBhT8OA==" saltValue="Jcc0djN/DvqCWEDu++qhO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SORIA</v>
      </c>
      <c r="C3" s="390"/>
      <c r="D3" s="424"/>
      <c r="BZ3" s="470"/>
    </row>
    <row r="4" spans="1:78" ht="13.5" thickBot="1">
      <c r="B4" s="390" t="str">
        <f>Criterios!A11 &amp;"  "&amp;Criterios!B11</f>
        <v>Resumenes por Partidos Judiciales  ALMAZAN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15</v>
      </c>
      <c r="E12" s="403">
        <f t="shared" si="0"/>
        <v>15</v>
      </c>
      <c r="F12" s="402">
        <f>IF(ISNUMBER(Datos!N12),Datos!N12," - ")</f>
        <v>29</v>
      </c>
      <c r="G12" s="403">
        <f t="shared" si="1"/>
        <v>29</v>
      </c>
      <c r="H12" s="402">
        <f>IF(ISNUMBER(Datos!O12),Datos!O12," - ")</f>
        <v>35</v>
      </c>
      <c r="I12" s="403">
        <f t="shared" si="2"/>
        <v>35</v>
      </c>
      <c r="BZ12" s="1181">
        <f>Datos!EZ12</f>
        <v>0</v>
      </c>
    </row>
    <row r="13" spans="1:78" ht="14.25" thickTop="1" thickBot="1">
      <c r="A13" s="845" t="str">
        <f>Datos!A13</f>
        <v>TOTAL</v>
      </c>
      <c r="B13" s="846">
        <f>Datos!AP13</f>
        <v>1</v>
      </c>
      <c r="C13" s="848">
        <f>Datos!AR13</f>
        <v>1</v>
      </c>
      <c r="D13" s="846">
        <f>SUBTOTAL(9,D9:D12)</f>
        <v>15</v>
      </c>
      <c r="E13" s="847">
        <f t="shared" si="0"/>
        <v>15</v>
      </c>
      <c r="F13" s="846">
        <f>SUBTOTAL(9,F9:F12)</f>
        <v>29</v>
      </c>
      <c r="G13" s="847">
        <f t="shared" si="1"/>
        <v>29</v>
      </c>
      <c r="H13" s="846">
        <f>SUBTOTAL(9,H9:H12)</f>
        <v>35</v>
      </c>
      <c r="I13" s="847">
        <f>IF(ISNUMBER(H13/B13),H13/B13," - ")</f>
        <v>35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26</v>
      </c>
      <c r="E17" s="403">
        <f t="shared" si="3"/>
        <v>26</v>
      </c>
      <c r="F17" s="402">
        <f>IF(ISNUMBER(Datos!N17),Datos!N17," - ")</f>
        <v>69</v>
      </c>
      <c r="G17" s="403">
        <f t="shared" si="4"/>
        <v>69</v>
      </c>
      <c r="H17" s="402">
        <f>IF(ISNUMBER(Datos!O17),Datos!O17," - ")</f>
        <v>1</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7</v>
      </c>
      <c r="G18" s="403">
        <f>IF(ISNUMBER(F18/B18),F18/B18," - ")</f>
        <v>7</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27</v>
      </c>
      <c r="E19" s="847">
        <f t="shared" si="3"/>
        <v>27</v>
      </c>
      <c r="F19" s="846">
        <f>SUBTOTAL(9,F15:F18)</f>
        <v>76</v>
      </c>
      <c r="G19" s="847">
        <f t="shared" si="4"/>
        <v>76</v>
      </c>
      <c r="H19" s="846">
        <f>SUBTOTAL(9,H15:H18)</f>
        <v>1</v>
      </c>
      <c r="I19" s="847">
        <f>IF(ISNUMBER(H19/B19),H19/B19," - ")</f>
        <v>1</v>
      </c>
      <c r="BZ19" s="1181"/>
    </row>
    <row r="20" spans="1:78" ht="14.25" thickTop="1" thickBot="1">
      <c r="A20" s="790" t="str">
        <f>Datos!A20</f>
        <v>TOTAL JURISDICCIONES</v>
      </c>
      <c r="B20" s="791">
        <f>Datos!AP20</f>
        <v>1</v>
      </c>
      <c r="C20" s="791">
        <f>Datos!AR20</f>
        <v>1</v>
      </c>
      <c r="D20" s="791">
        <f>SUBTOTAL(9,D8:D19)</f>
        <v>42</v>
      </c>
      <c r="E20" s="792">
        <f>IF(ISNUMBER(D20/B20),D20/B20," - ")</f>
        <v>42</v>
      </c>
      <c r="F20" s="791">
        <f>SUBTOTAL(9,F8:F19)</f>
        <v>105</v>
      </c>
      <c r="G20" s="792">
        <f>IF(ISNUMBER(F20/B20),F20/B20," - ")</f>
        <v>105</v>
      </c>
      <c r="H20" s="791">
        <f>SUBTOTAL(9,H8:H19)</f>
        <v>36</v>
      </c>
      <c r="I20" s="792">
        <f>IF(ISNUMBER(H20/B20),H20/B20," - ")</f>
        <v>36</v>
      </c>
    </row>
    <row r="23" spans="1:78">
      <c r="A23" s="390" t="str">
        <f>Criterios!A4</f>
        <v>Fecha Informe: 06 oct. 2026</v>
      </c>
    </row>
    <row r="28" spans="1:78">
      <c r="A28" s="413"/>
    </row>
  </sheetData>
  <sheetProtection algorithmName="SHA-512" hashValue="5MDVD4dczPGEWmfzUZoYjX4QB3WVjUWXIK/c9U5EyWpXea0lj3lk6fOigZOmM8QFABACB4aXzb3lUmg4oGEeuw==" saltValue="07+laxcu7CLqfwC1XrY91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SORIA</v>
      </c>
    </row>
    <row r="4" spans="1:4" ht="13.5" thickBot="1">
      <c r="B4" s="390" t="str">
        <f>Criterios!A11 &amp;"  "&amp;Criterios!B11</f>
        <v>Resumenes por Partidos Judiciales  ALMAZAN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0</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17</v>
      </c>
      <c r="C12" s="433">
        <f>IF(ISNUMBER(Datos!Q12),Datos!Q12," - ")</f>
        <v>53</v>
      </c>
      <c r="D12" s="407">
        <f>IF(ISNUMBER(Datos!R12),Datos!R12," - ")</f>
        <v>354</v>
      </c>
    </row>
    <row r="13" spans="1:4" ht="14.25" thickTop="1" thickBot="1">
      <c r="A13" s="845" t="str">
        <f>Datos!A13</f>
        <v>TOTAL</v>
      </c>
      <c r="B13" s="846">
        <f>SUBTOTAL(9,B9:B12)</f>
        <v>18</v>
      </c>
      <c r="C13" s="850">
        <f>SUBTOTAL(9,C9:C12)</f>
        <v>53</v>
      </c>
      <c r="D13" s="848">
        <f>SUBTOTAL(9,D9:D12)</f>
        <v>356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1</v>
      </c>
      <c r="D17" s="407">
        <f>IF(ISNUMBER(Datos!R17),Datos!R17," - ")</f>
        <v>12</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0</v>
      </c>
      <c r="C19" s="850">
        <f>SUBTOTAL(9,C15:C18)</f>
        <v>1</v>
      </c>
      <c r="D19" s="848">
        <f>SUBTOTAL(9,D15:D18)</f>
        <v>12</v>
      </c>
    </row>
    <row r="20" spans="1:4" ht="16.5" customHeight="1" thickTop="1" thickBot="1">
      <c r="A20" s="790" t="str">
        <f>Datos!A20</f>
        <v>TOTAL JURISDICCIONES</v>
      </c>
      <c r="B20" s="795">
        <f>SUBTOTAL(9,B8:B19)</f>
        <v>18</v>
      </c>
      <c r="C20" s="796">
        <f>SUBTOTAL(9,C8:C19)</f>
        <v>54</v>
      </c>
      <c r="D20" s="797">
        <f>SUBTOTAL(9,D8:D19)</f>
        <v>368</v>
      </c>
    </row>
    <row r="21" spans="1:4" ht="7.5" customHeight="1"/>
    <row r="22" spans="1:4" ht="6" customHeight="1"/>
    <row r="23" spans="1:4">
      <c r="A23" s="390" t="str">
        <f>Criterios!A4</f>
        <v>Fecha Informe: 06 oct. 2026</v>
      </c>
    </row>
    <row r="28" spans="1:4">
      <c r="A28" s="413"/>
    </row>
  </sheetData>
  <sheetProtection algorithmName="SHA-512" hashValue="Og+hsRNUKv6hPAYuxo4rpSIprd0FLRoifXVfM9oBYwdLeh3n+DDlOK9/rZuROgxEcI1TSaYYCBYFBXz7lQhB9Q==" saltValue="TI87eBWkzkRXruwqEPyas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SORIA</v>
      </c>
    </row>
    <row r="4" spans="1:11" ht="10.5" customHeight="1" thickBot="1">
      <c r="B4" s="390" t="str">
        <f>Criterios!A11 &amp;"  "&amp;Criterios!B11</f>
        <v>Resumenes por Partidos Judiciales  ALMAZAN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f>IF(ISNUMBER((Datos!J10-Datos!T10)/Datos!T10),(Datos!J10-Datos!T10)/Datos!T10," - ")</f>
        <v>0</v>
      </c>
      <c r="D10" s="455">
        <f>IF(ISNUMBER((Datos!K10-Datos!U10)/Datos!U10),(Datos!K10-Datos!U10)/Datos!U10," - ")</f>
        <v>-1</v>
      </c>
      <c r="E10" s="455" t="str">
        <f>IF(ISNUMBER((Datos!L10-Datos!V10)/Datos!V10),(Datos!L10-Datos!V10)/Datos!V10," - ")</f>
        <v xml:space="preserve"> - </v>
      </c>
      <c r="F10" s="455">
        <f>IF(ISNUMBER((Datos!M10-Datos!W10)/Datos!W10),(Datos!M10-Datos!W10)/Datos!W10," - ")</f>
        <v>-1</v>
      </c>
      <c r="G10" s="456" t="str">
        <f>IF(ISNUMBER((Datos!N10-Datos!X10)/Datos!X10),(Datos!N10-Datos!X10)/Datos!X10," - ")</f>
        <v xml:space="preserve"> - </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-0.29197080291970801</v>
      </c>
      <c r="C12" s="455">
        <f>IF(ISNUMBER(
   IF(J_V="SI",(Datos!J12-Datos!T12)/Datos!T12,(Datos!J12+Datos!Z12-(Datos!T12+Datos!AH12))/(Datos!T12+Datos!AH12))
     ),IF(J_V="SI",(Datos!J12-Datos!T12)/Datos!T12,(Datos!J12+Datos!Z12-(Datos!T12+Datos!AH12))/(Datos!T12+Datos!AH12))," - ")</f>
        <v>5.1020408163265307E-2</v>
      </c>
      <c r="D12" s="455">
        <f>IF(ISNUMBER(
   IF(J_V="SI",(Datos!K12-Datos!U12)/Datos!U12,(Datos!K12+Datos!AA12-(Datos!U12+Datos!AI12))/(Datos!U12+Datos!AI12))
     ),IF(J_V="SI",(Datos!K12-Datos!U12)/Datos!U12,(Datos!K12+Datos!AA12-(Datos!U12+Datos!AI12))/(Datos!U12+Datos!AI12))," - ")</f>
        <v>-0.64912280701754388</v>
      </c>
      <c r="E12" s="455">
        <f>IF(ISNUMBER(
   IF(J_V="SI",(Datos!L12-Datos!V12)/Datos!V12,(Datos!L12+Datos!AB12-(Datos!V12+Datos!AJ12))/(Datos!V12+Datos!AJ12))
     ),IF(J_V="SI",(Datos!L12-Datos!V12)/Datos!V12,(Datos!L12+Datos!AB12-(Datos!V12+Datos!AJ12))/(Datos!V12+Datos!AJ12))," - ")</f>
        <v>0.17910447761194029</v>
      </c>
      <c r="F12" s="455">
        <f>IF(ISNUMBER((Datos!M12-Datos!W12)/Datos!W12),(Datos!M12-Datos!W12)/Datos!W12," - ")</f>
        <v>-0.58333333333333337</v>
      </c>
      <c r="G12" s="456">
        <f>IF(ISNUMBER((Datos!N12-Datos!X12)/Datos!X12),(Datos!N12-Datos!X12)/Datos!X12," - ")</f>
        <v>-0.67777777777777781</v>
      </c>
      <c r="H12" s="454">
        <f>IF(ISNUMBER(((NºAsuntos!G12/NºAsuntos!E12)-Datos!BD12)/Datos!BD12),((NºAsuntos!G12/NºAsuntos!E12)-Datos!BD12)/Datos!BD12," - ")</f>
        <v>-0.66615568046329421</v>
      </c>
      <c r="I12" s="455">
        <f>IF(ISNUMBER(((NºAsuntos!I12/NºAsuntos!G12)-Datos!BE12)/Datos!BE12),((NºAsuntos!I12/NºAsuntos!G12)-Datos!BE12)/Datos!BE12," - ")</f>
        <v>2.3604477611940298</v>
      </c>
      <c r="J12" s="460">
        <f>IF(ISNUMBER((('Resol  Asuntos'!D12/NºAsuntos!G12)-Datos!BF12)/Datos!BF12),(('Resol  Asuntos'!D12/NºAsuntos!G12)-Datos!BF12)/Datos!BF12," - ")</f>
        <v>-0.52500000000000002</v>
      </c>
      <c r="K12" s="461">
        <f>IF(ISNUMBER((((NºAsuntos!C12+NºAsuntos!E12)/NºAsuntos!G12)-Datos!BG12)/Datos!BG12),(((NºAsuntos!C12+NºAsuntos!E12)/NºAsuntos!G12)-Datos!BG12)/Datos!BG12," - ")</f>
        <v>1.2754032258064516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-0.29197080291970801</v>
      </c>
      <c r="C13" s="852">
        <f>IF(ISNUMBER(
   IF(J_V="SI",(Datos!J13-Datos!T13)/Datos!T13,(Datos!J13+Datos!Z13-(Datos!T13+Datos!AH13))/(Datos!T13+Datos!AH13))
     ),IF(J_V="SI",(Datos!J13-Datos!T13)/Datos!T13,(Datos!J13+Datos!Z13-(Datos!T13+Datos!AH13))/(Datos!T13+Datos!AH13))," - ")</f>
        <v>5.0505050505050504E-2</v>
      </c>
      <c r="D13" s="852">
        <f>IF(ISNUMBER(
   IF(J_V="SI",(Datos!K13-Datos!U13)/Datos!U13,(Datos!K13+Datos!AA13-(Datos!U13+Datos!AI13))/(Datos!U13+Datos!AI13))
     ),IF(J_V="SI",(Datos!K13-Datos!U13)/Datos!U13,(Datos!K13+Datos!AA13-(Datos!U13+Datos!AI13))/(Datos!U13+Datos!AI13))," - ")</f>
        <v>-0.65116279069767447</v>
      </c>
      <c r="E13" s="852">
        <f>IF(ISNUMBER(
   IF(J_V="SI",(Datos!L13-Datos!V13)/Datos!V13,(Datos!L13+Datos!AB13-(Datos!V13+Datos!AJ13))/(Datos!V13+Datos!AJ13))
     ),IF(J_V="SI",(Datos!L13-Datos!V13)/Datos!V13,(Datos!L13+Datos!AB13-(Datos!V13+Datos!AJ13))/(Datos!V13+Datos!AJ13))," - ")</f>
        <v>0.18407960199004975</v>
      </c>
      <c r="F13" s="853">
        <f>IF(ISNUMBER((Datos!M13-Datos!W13)/Datos!W13),(Datos!M13-Datos!W13)/Datos!W13," - ")</f>
        <v>-0.59459459459459463</v>
      </c>
      <c r="G13" s="854">
        <f>IF(ISNUMBER((Datos!N13-Datos!X13)/Datos!X13),(Datos!N13-Datos!X13)/Datos!X13," - ")</f>
        <v>-0.67777777777777781</v>
      </c>
      <c r="H13" s="854">
        <f>IF(ISNUMBER(((NºAsuntos!G13/NºAsuntos!E13)-Datos!BD13)/Datos!BD13),((NºAsuntos!G13/NºAsuntos!E13)-Datos!BD13)/Datos!BD13," - ")</f>
        <v>-0.6679338103756709</v>
      </c>
      <c r="I13" s="854">
        <f>IF(ISNUMBER(((NºAsuntos!I13/NºAsuntos!G13)-Datos!BE13)/Datos!BE13),((NºAsuntos!I13/NºAsuntos!G13)-Datos!BE13)/Datos!BE13," - ")</f>
        <v>2.3943615257048094</v>
      </c>
      <c r="J13" s="854">
        <f>IF(ISNUMBER((('Resol  Asuntos'!D13/NºAsuntos!G13)-Datos!BF13)/Datos!BF13),(('Resol  Asuntos'!D13/NºAsuntos!G13)-Datos!BF13)/Datos!BF13," - ")</f>
        <v>-0.52747252747252749</v>
      </c>
      <c r="K13" s="854">
        <f>IF(ISNUMBER((((NºAsuntos!C13+NºAsuntos!E13)/NºAsuntos!G13)-Datos!BG13)/Datos!BG13),(((NºAsuntos!C13+NºAsuntos!E13)/NºAsuntos!G13)-Datos!BG13)/Datos!BG13," - ")</f>
        <v>1.2902591599642541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0.61643835616438358</v>
      </c>
      <c r="C17" s="455">
        <f>IF(ISNUMBER(
   IF(D_I="SI",(Datos!J17-Datos!T17)/Datos!T17,(Datos!J17+Datos!AD17-(Datos!T17+Datos!AL17))/(Datos!T17+Datos!AL17))
     ),IF(D_I="SI",(Datos!J17-Datos!T17)/Datos!T17,(Datos!J17+Datos!AD17-(Datos!T17+Datos!AL17))/(Datos!T17+Datos!AL17))," - ")</f>
        <v>5.7142857142857143E-3</v>
      </c>
      <c r="D17" s="455">
        <f>IF(ISNUMBER(
   IF(D_I="SI",(Datos!K17-Datos!U17)/Datos!U17,(Datos!K17+Datos!AE17-(Datos!U17+Datos!AM17))/(Datos!U17+Datos!AM17))
     ),IF(D_I="SI",(Datos!K17-Datos!U17)/Datos!U17,(Datos!K17+Datos!AE17-(Datos!U17+Datos!AM17))/(Datos!U17+Datos!AM17))," - ")</f>
        <v>-0.16111111111111112</v>
      </c>
      <c r="E17" s="455">
        <f>IF(ISNUMBER(
   IF(D_I="SI",(Datos!L17-Datos!V17)/Datos!V17,(Datos!L17+Datos!AF17-(Datos!V17+Datos!AN17))/(Datos!V17+Datos!AN17))
     ),IF(D_I="SI",(Datos!L17-Datos!V17)/Datos!V17,(Datos!L17+Datos!AF17-(Datos!V17+Datos!AN17))/(Datos!V17+Datos!AN17))," - ")</f>
        <v>0.80536912751677847</v>
      </c>
      <c r="F17" s="455">
        <f>IF(ISNUMBER((Datos!M17-Datos!W17)/Datos!W17),(Datos!M17-Datos!W17)/Datos!W17," - ")</f>
        <v>0.04</v>
      </c>
      <c r="G17" s="456">
        <f>IF(ISNUMBER((Datos!N17-Datos!X17)/Datos!X17),(Datos!N17-Datos!X17)/Datos!X17," - ")</f>
        <v>-0.28865979381443296</v>
      </c>
      <c r="H17" s="454">
        <f>IF(ISNUMBER(((NºAsuntos!G17/NºAsuntos!E17)-Datos!BD17)/Datos!BD17),((NºAsuntos!G17/NºAsuntos!E17)-Datos!BD17)/Datos!BD17," - ")</f>
        <v>-0.16587752525252522</v>
      </c>
      <c r="I17" s="455">
        <f>IF(ISNUMBER(((NºAsuntos!I17/NºAsuntos!G17)-Datos!BE17)/Datos!BE17),((NºAsuntos!I17/NºAsuntos!G17)-Datos!BE17)/Datos!BE17," - ")</f>
        <v>1.1520956486954976</v>
      </c>
      <c r="J17" s="460">
        <f>IF(ISNUMBER((('Resol  Asuntos'!D17/NºAsuntos!G17)-Datos!BF17)/Datos!BF17),(('Resol  Asuntos'!D17/NºAsuntos!G17)-Datos!BF17)/Datos!BF17," - ")</f>
        <v>0.23973509933774823</v>
      </c>
      <c r="K17" s="461">
        <f>IF(ISNUMBER((((NºAsuntos!C17+NºAsuntos!E17)/NºAsuntos!G17)-Datos!BG17)/Datos!BG17),(((NºAsuntos!C17+NºAsuntos!E17)/NºAsuntos!G17)-Datos!BG17)/Datos!BG17," - ")</f>
        <v>0.52998700253759978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0.15384615384615385</v>
      </c>
      <c r="C18" s="455">
        <f>IF(ISNUMBER(
   IF(D_I="SI",(Datos!J18-Datos!T18)/Datos!T18,(Datos!J18+Datos!AD18-(Datos!T18+Datos!AL18))/(Datos!T18+Datos!AL18))
     ),IF(D_I="SI",(Datos!J18-Datos!T18)/Datos!T18,(Datos!J18+Datos!AD18-(Datos!T18+Datos!AL18))/(Datos!T18+Datos!AL18))," - ")</f>
        <v>0.38461538461538464</v>
      </c>
      <c r="D18" s="455">
        <f>IF(ISNUMBER(
   IF(D_I="SI",(Datos!K18-Datos!U18)/Datos!U18,(Datos!K18+Datos!AE18-(Datos!U18+Datos!AM18))/(Datos!U18+Datos!AM18))
     ),IF(D_I="SI",(Datos!K18-Datos!U18)/Datos!U18,(Datos!K18+Datos!AE18-(Datos!U18+Datos!AM18))/(Datos!U18+Datos!AM18))," - ")</f>
        <v>-7.1428571428571425E-2</v>
      </c>
      <c r="E18" s="455">
        <f>IF(ISNUMBER(
   IF(D_I="SI",(Datos!L18-Datos!V18)/Datos!V18,(Datos!L18+Datos!AF18-(Datos!V18+Datos!AN18))/(Datos!V18+Datos!AN18))
     ),IF(D_I="SI",(Datos!L18-Datos!V18)/Datos!V18,(Datos!L18+Datos!AF18-(Datos!V18+Datos!AN18))/(Datos!V18+Datos!AN18))," - ")</f>
        <v>0.58333333333333337</v>
      </c>
      <c r="F18" s="455">
        <f>IF(ISNUMBER((Datos!M18-Datos!W18)/Datos!W18),(Datos!M18-Datos!W18)/Datos!W18," - ")</f>
        <v>-0.75</v>
      </c>
      <c r="G18" s="456">
        <f>IF(ISNUMBER((Datos!N18-Datos!X18)/Datos!X18),(Datos!N18-Datos!X18)/Datos!X18," - ")</f>
        <v>0.75</v>
      </c>
      <c r="H18" s="454">
        <f>IF(ISNUMBER(((NºAsuntos!G18/NºAsuntos!E18)-Datos!BD18)/Datos!BD18),((NºAsuntos!G18/NºAsuntos!E18)-Datos!BD18)/Datos!BD18," - ")</f>
        <v>-0.32936507936507936</v>
      </c>
      <c r="I18" s="455">
        <f>IF(ISNUMBER(((NºAsuntos!I18/NºAsuntos!G18)-Datos!BE18)/Datos!BE18),((NºAsuntos!I18/NºAsuntos!G18)-Datos!BE18)/Datos!BE18," - ")</f>
        <v>0.70512820512820518</v>
      </c>
      <c r="J18" s="460">
        <f>IF(ISNUMBER((('Resol  Asuntos'!D18/NºAsuntos!G18)-Datos!BF18)/Datos!BF18),(('Resol  Asuntos'!D18/NºAsuntos!G18)-Datos!BF18)/Datos!BF18," - ")</f>
        <v>-0.73076923076923073</v>
      </c>
      <c r="K18" s="461">
        <f>IF(ISNUMBER((((NºAsuntos!C18+NºAsuntos!E18)/NºAsuntos!G18)-Datos!BG18)/Datos!BG18),(((NºAsuntos!C18+NºAsuntos!E18)/NºAsuntos!G18)-Datos!BG18)/Datos!BG18," - ")</f>
        <v>0.36686390532544366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0.57861635220125784</v>
      </c>
      <c r="C19" s="852">
        <f>IF(ISNUMBER(
   IF(Criterios!B14="SI",(Datos!J19-Datos!T19)/Datos!T19,(Datos!J19+Datos!AD19-(Datos!T19+Datos!AL19))/(Datos!T19+Datos!AL19))
     ),IF(Criterios!B14="SI",(Datos!J19-Datos!T19)/Datos!T19,(Datos!J19+Datos!AD19-(Datos!T19+Datos!AL19))/(Datos!T19+Datos!AL19))," - ")</f>
        <v>3.1914893617021274E-2</v>
      </c>
      <c r="D19" s="852">
        <f>IF(ISNUMBER(
   IF(Criterios!B14="SI",(Datos!K19-Datos!U19)/Datos!U19,(Datos!K19+Datos!AE19-(Datos!U19+Datos!AM19))/(Datos!U19+Datos!AM19))
     ),IF(Criterios!B14="SI",(Datos!K19-Datos!U19)/Datos!U19,(Datos!K19+Datos!AE19-(Datos!U19+Datos!AM19))/(Datos!U19+Datos!AM19))," - ")</f>
        <v>-0.15463917525773196</v>
      </c>
      <c r="E19" s="852">
        <f>IF(ISNUMBER(
   IF(Criterios!B14="SI",(Datos!L19-Datos!V19)/Datos!V19,(Datos!L19+Datos!AF19-(Datos!V19+Datos!AN19))/(Datos!V19+Datos!AN19))
     ),IF(Criterios!B14="SI",(Datos!L19-Datos!V19)/Datos!V19,(Datos!L19+Datos!AF19-(Datos!V19+Datos!AN19))/(Datos!V19+Datos!AN19))," - ")</f>
        <v>0.78881987577639756</v>
      </c>
      <c r="F19" s="853">
        <f>IF(ISNUMBER((Datos!M19-Datos!W19)/Datos!W19),(Datos!M19-Datos!W19)/Datos!W19," - ")</f>
        <v>-6.8965517241379309E-2</v>
      </c>
      <c r="G19" s="854">
        <f>IF(ISNUMBER((Datos!N19-Datos!X19)/Datos!X19),(Datos!N19-Datos!X19)/Datos!X19," - ")</f>
        <v>-0.24752475247524752</v>
      </c>
      <c r="H19" s="854">
        <f>IF(ISNUMBER(((NºAsuntos!G19/NºAsuntos!E19)-Datos!BD19)/Datos!BD19),((NºAsuntos!G19/NºAsuntos!E19)-Datos!BD19)/Datos!BD19," - ")</f>
        <v>-0.18078435540440005</v>
      </c>
      <c r="I19" s="854">
        <f>IF(ISNUMBER(((NºAsuntos!I19/NºAsuntos!G19)-Datos!BE19)/Datos!BE19),((NºAsuntos!I19/NºAsuntos!G19)-Datos!BE19)/Datos!BE19," - ")</f>
        <v>1.1160430237842749</v>
      </c>
      <c r="J19" s="854">
        <f>IF(ISNUMBER((('Resol  Asuntos'!D19/NºAsuntos!G19)-Datos!BF19)/Datos!BF19),(('Resol  Asuntos'!D19/NºAsuntos!G19)-Datos!BF19)/Datos!BF19," - ")</f>
        <v>0.10134566862910016</v>
      </c>
      <c r="K19" s="854">
        <f>IF(ISNUMBER((((NºAsuntos!C19+NºAsuntos!E19)/NºAsuntos!G19)-Datos!BG19)/Datos!BG19),(((NºAsuntos!C19+NºAsuntos!E19)/NºAsuntos!G19)-Datos!BG19)/Datos!BG19," - ")</f>
        <v>0.51700991073311298</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2.771362586605081E-2</v>
      </c>
      <c r="C20" s="799">
        <f>IF(ISNUMBER(
   IF(J_V="SI",(Datos!J20-Datos!T20)/Datos!T20,(Datos!J20+Datos!Z20-(Datos!T20+Datos!AH20))/(Datos!T20+Datos!AH20))
     ),IF(J_V="SI",(Datos!J20-Datos!T20)/Datos!T20,(Datos!J20+Datos!Z20-(Datos!T20+Datos!AH20))/(Datos!T20+Datos!AH20))," - ")</f>
        <v>3.8327526132404179E-2</v>
      </c>
      <c r="D20" s="799">
        <f>IF(ISNUMBER(
   IF(J_V="SI",(Datos!K20-Datos!U20)/Datos!U20,(Datos!K20+Datos!AA20-(Datos!U20+Datos!AI20))/(Datos!U20+Datos!AI20))
     ),IF(J_V="SI",(Datos!K20-Datos!U20)/Datos!U20,(Datos!K20+Datos!AA20-(Datos!U20+Datos!AI20))/(Datos!U20+Datos!AI20))," - ")</f>
        <v>-0.38797814207650272</v>
      </c>
      <c r="E20" s="799">
        <f>IF(ISNUMBER(
   IF(J_V="SI",(Datos!L20-Datos!V20)/Datos!V20,(Datos!L20+Datos!AB20-(Datos!V20+Datos!AJ20))/(Datos!V20+Datos!AJ20))
     ),IF(J_V="SI",(Datos!L20-Datos!V20)/Datos!V20,(Datos!L20+Datos!AB20-(Datos!V20+Datos!AJ20))/(Datos!V20+Datos!AJ20))," - ")</f>
        <v>0.45303867403314918</v>
      </c>
      <c r="F20" s="800">
        <f>IF(ISNUMBER((Datos!M20-Datos!W20)/Datos!W20),(Datos!M20-Datos!W20)/Datos!W20," - ")</f>
        <v>-0.36363636363636365</v>
      </c>
      <c r="G20" s="801">
        <f>IF(ISNUMBER((Datos!N20-Datos!X20)/Datos!X20),(Datos!N20-Datos!X20)/Datos!X20," - ")</f>
        <v>-0.45026178010471202</v>
      </c>
      <c r="H20" s="802">
        <f>IF(ISNUMBER((Tasas!B20-Datos!BD20)/Datos!BD20),(Tasas!B20-Datos!BD20)/Datos!BD20," - ")</f>
        <v>-0.41056955293945058</v>
      </c>
      <c r="I20" s="803">
        <f>IF(ISNUMBER((Tasas!C20-Datos!BE20)/Datos!BE20),(Tasas!C20-Datos!BE20)/Datos!BE20," - ")</f>
        <v>1.374161404893449</v>
      </c>
      <c r="J20" s="804">
        <f>IF(ISNUMBER((Tasas!D20-Datos!BF20)/Datos!BF20),(Tasas!D20-Datos!BF20)/Datos!BF20," - ")</f>
        <v>-0.42812499999999998</v>
      </c>
      <c r="K20" s="804">
        <f>IF(ISNUMBER((Tasas!E20-Datos!BG20)/Datos!BG20),(Tasas!E20-Datos!BG20)/Datos!BG20," - ")</f>
        <v>0.68612351190476184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VhPSdUbZUSjUYtpcBtxXUVB8lpLv9P8fyLK50CiqeupyxO2ZBKzShksF+DzG0WpUFYiF/W7fOjOU46cLsDLhKA==" saltValue="b1nkgFZxHf/ip2B0BT4Iy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SORIA</v>
      </c>
    </row>
    <row r="4" spans="1:7" ht="11.25" customHeight="1" thickBot="1">
      <c r="B4" s="390" t="str">
        <f>Criterios!A11 &amp;"  "&amp;Criterios!B11</f>
        <v>Resumenes por Partidos Judiciales  ALMAZAN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0.58252427184466016</v>
      </c>
      <c r="C12" s="442">
        <f>IF(ISNUMBER(NºAsuntos!I12/NºAsuntos!G12),NºAsuntos!I12/NºAsuntos!G12," - ")</f>
        <v>3.95</v>
      </c>
      <c r="D12" s="443">
        <f>IF(ISNUMBER('Resol  Asuntos'!D12/NºAsuntos!G12),'Resol  Asuntos'!D12/NºAsuntos!G12," - ")</f>
        <v>0.25</v>
      </c>
      <c r="E12" s="444">
        <f>IF(ISNUMBER((NºAsuntos!C12+NºAsuntos!E12)/NºAsuntos!G12),(NºAsuntos!C12+NºAsuntos!E12)/NºAsuntos!G12," - ")</f>
        <v>4.95</v>
      </c>
      <c r="G12" s="462"/>
    </row>
    <row r="13" spans="1:7" ht="14.25" thickTop="1" thickBot="1">
      <c r="A13" s="845" t="str">
        <f>Datos!A13</f>
        <v>TOTAL</v>
      </c>
      <c r="B13" s="855">
        <f>IF(ISNUMBER(NºAsuntos!G13/NºAsuntos!E13),NºAsuntos!G13/NºAsuntos!E13," - ")</f>
        <v>0.57692307692307687</v>
      </c>
      <c r="C13" s="856">
        <f>IF(ISNUMBER(NºAsuntos!I13/NºAsuntos!G13),NºAsuntos!I13/NºAsuntos!G13," - ")</f>
        <v>3.9666666666666668</v>
      </c>
      <c r="D13" s="857">
        <f>IF(ISNUMBER('Resol  Asuntos'!D13/NºAsuntos!G13),'Resol  Asuntos'!D13/NºAsuntos!G13," - ")</f>
        <v>0.25</v>
      </c>
      <c r="E13" s="858">
        <f>IF(ISNUMBER((NºAsuntos!C13+NºAsuntos!E13)/NºAsuntos!G13),(NºAsuntos!C13+NºAsuntos!E13)/NºAsuntos!G13," - ")</f>
        <v>4.9666666666666668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0.85795454545454541</v>
      </c>
      <c r="C17" s="442">
        <f>IF(ISNUMBER(NºAsuntos!I17/NºAsuntos!G17),NºAsuntos!I17/NºAsuntos!G17," - ")</f>
        <v>1.7814569536423841</v>
      </c>
      <c r="D17" s="443">
        <f>IF(ISNUMBER('Resol  Asuntos'!D17/NºAsuntos!G17),'Resol  Asuntos'!D17/NºAsuntos!G17," - ")</f>
        <v>0.17218543046357615</v>
      </c>
      <c r="E17" s="444">
        <f>IF(ISNUMBER((NºAsuntos!C17+NºAsuntos!E17)/NºAsuntos!G17),(NºAsuntos!C17+NºAsuntos!E17)/NºAsuntos!G17," - ")</f>
        <v>2.7284768211920531</v>
      </c>
      <c r="G17" s="462"/>
    </row>
    <row r="18" spans="1:7" ht="21.75" thickBot="1">
      <c r="A18" s="401" t="str">
        <f>Datos!A18</f>
        <v>Sección De Violencia sobre la Mujer del TI</v>
      </c>
      <c r="B18" s="441">
        <f>IF(ISNUMBER(NºAsuntos!G18/NºAsuntos!E18),NºAsuntos!G18/NºAsuntos!E18," - ")</f>
        <v>0.72222222222222221</v>
      </c>
      <c r="C18" s="442">
        <f>IF(ISNUMBER(NºAsuntos!I18/NºAsuntos!G18),NºAsuntos!I18/NºAsuntos!G18," - ")</f>
        <v>1.4615384615384615</v>
      </c>
      <c r="D18" s="443">
        <f>IF(ISNUMBER('Resol  Asuntos'!D18/NºAsuntos!G18),'Resol  Asuntos'!D18/NºAsuntos!G18," - ")</f>
        <v>7.6923076923076927E-2</v>
      </c>
      <c r="E18" s="444">
        <f>IF(ISNUMBER((NºAsuntos!C18+NºAsuntos!E18)/NºAsuntos!G18),(NºAsuntos!C18+NºAsuntos!E18)/NºAsuntos!G18," - ")</f>
        <v>2.5384615384615383</v>
      </c>
      <c r="G18" s="462"/>
    </row>
    <row r="19" spans="1:7" ht="14.25" thickTop="1" thickBot="1">
      <c r="A19" s="845" t="str">
        <f>Datos!A19</f>
        <v>TOTAL</v>
      </c>
      <c r="B19" s="855">
        <f>IF(ISNUMBER(NºAsuntos!G19/NºAsuntos!E19),NºAsuntos!G19/NºAsuntos!E19," - ")</f>
        <v>0.84536082474226804</v>
      </c>
      <c r="C19" s="856">
        <f>IF(ISNUMBER(NºAsuntos!I19/NºAsuntos!G19),NºAsuntos!I19/NºAsuntos!G19," - ")</f>
        <v>1.7560975609756098</v>
      </c>
      <c r="D19" s="859">
        <f>IF(ISNUMBER('Resol  Asuntos'!D19/NºAsuntos!G19),'Resol  Asuntos'!D19/NºAsuntos!G19," - ")</f>
        <v>0.16463414634146342</v>
      </c>
      <c r="E19" s="858">
        <f>IF(ISNUMBER((NºAsuntos!C19+NºAsuntos!E19)/NºAsuntos!G19),(NºAsuntos!C19+NºAsuntos!E19)/NºAsuntos!G19," - ")</f>
        <v>2.7134146341463414</v>
      </c>
      <c r="G19" s="462"/>
    </row>
    <row r="20" spans="1:7" ht="15.75" customHeight="1" thickTop="1" thickBot="1">
      <c r="A20" s="790" t="str">
        <f>Datos!A20</f>
        <v>TOTAL JURISDICCIONES</v>
      </c>
      <c r="B20" s="805">
        <f>IF(ISNUMBER(NºAsuntos!G20/NºAsuntos!E20),NºAsuntos!G20/NºAsuntos!E20," - ")</f>
        <v>0.75167785234899331</v>
      </c>
      <c r="C20" s="806">
        <f>IF(ISNUMBER(NºAsuntos!I20/NºAsuntos!G20),NºAsuntos!I20/NºAsuntos!G20," - ")</f>
        <v>2.3482142857142856</v>
      </c>
      <c r="D20" s="807">
        <f>IF(ISNUMBER('Resol  Asuntos'!D20/NºAsuntos!G20),'Resol  Asuntos'!D20/NºAsuntos!G20," - ")</f>
        <v>0.1875</v>
      </c>
      <c r="E20" s="808">
        <f>IF(ISNUMBER((NºAsuntos!C20+NºAsuntos!E20)/NºAsuntos!G20),(NºAsuntos!C20+NºAsuntos!E20)/NºAsuntos!G20," - ")</f>
        <v>3.3169642857142856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NwRZ/zp8L53V2Rtn8ZIJD5oDhivG6FZU1as5luCWfl5FDkseYThaT417CYAlmreesx6nM+sck+EALxc9Fnd/+Q==" saltValue="Qv3yrx5TsB4x7BrPT1Bgo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SORIA</v>
      </c>
      <c r="N2" s="261" t="str">
        <f>Criterios!A11 &amp;"  "&amp;Criterios!B11</f>
        <v>Resumenes por Partidos Judiciales  ALMAZAN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v>
      </c>
      <c r="AB10" s="333">
        <f>IF(ISNUMBER(Datos!R10),Datos!R10," - ")</f>
        <v>2</v>
      </c>
      <c r="AC10" s="333">
        <f t="shared" ref="AC10:AC12" si="1">IF(ISNUMBER(AA10+AB10),AA10+AB10," - ")</f>
        <v>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53</v>
      </c>
      <c r="Y12" s="333">
        <f t="shared" si="0"/>
        <v>53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354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15</v>
      </c>
      <c r="AJ12" s="228" t="str">
        <f>IF(ISNUMBER(Datos!BW12),Datos!BW12," - ")</f>
        <v xml:space="preserve"> - </v>
      </c>
      <c r="AK12" s="227" t="str">
        <f>IF(ISNUMBER(Datos!BX12),Datos!BX12," - ")</f>
        <v xml:space="preserve"> - </v>
      </c>
      <c r="AL12" s="242">
        <f>IF(ISNUMBER(NºAsuntos!G12/NºAsuntos!E12),NºAsuntos!G12/NºAsuntos!E12," - ")</f>
        <v>0.58252427184466016</v>
      </c>
      <c r="AM12" s="259">
        <f>IF(ISNUMBER(((NºAsuntos!I12/NºAsuntos!G12)*11)/factor_trimestre),((NºAsuntos!I12/NºAsuntos!G12)*11)/factor_trimestre," - ")</f>
        <v>11.850000000000001</v>
      </c>
      <c r="AN12" s="243">
        <f>IF(ISNUMBER('Resol  Asuntos'!D12/NºAsuntos!G12),'Resol  Asuntos'!D12/NºAsuntos!G12," - ")</f>
        <v>0.25</v>
      </c>
      <c r="AO12" s="244">
        <f>IF(ISNUMBER((NºAsuntos!C12+NºAsuntos!E12)/NºAsuntos!G12),(NºAsuntos!C12+NºAsuntos!E12)/NºAsuntos!G12," - ")</f>
        <v>4.95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18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53</v>
      </c>
      <c r="Y13" s="865">
        <f t="shared" si="4"/>
        <v>53</v>
      </c>
      <c r="Z13" s="865">
        <f t="shared" si="4"/>
        <v>0</v>
      </c>
      <c r="AA13" s="865">
        <f t="shared" si="4"/>
        <v>1</v>
      </c>
      <c r="AB13" s="865">
        <f t="shared" si="4"/>
        <v>356</v>
      </c>
      <c r="AC13" s="865">
        <f t="shared" si="4"/>
        <v>3</v>
      </c>
      <c r="AD13" s="865">
        <f t="shared" si="4"/>
        <v>0</v>
      </c>
      <c r="AE13" s="869">
        <f t="shared" si="4"/>
        <v>0</v>
      </c>
      <c r="AF13" s="862">
        <f t="shared" si="4"/>
        <v>0</v>
      </c>
      <c r="AG13" s="870">
        <f t="shared" si="4"/>
        <v>0</v>
      </c>
      <c r="AH13" s="867">
        <f t="shared" si="4"/>
        <v>0</v>
      </c>
      <c r="AI13" s="862">
        <f t="shared" si="4"/>
        <v>15</v>
      </c>
      <c r="AJ13" s="864">
        <f t="shared" si="4"/>
        <v>0</v>
      </c>
      <c r="AK13" s="867">
        <f>SUBTOTAL(9,AK9:AK12)</f>
        <v>0</v>
      </c>
      <c r="AL13" s="871">
        <f>IF(ISNUMBER(NºAsuntos!G13/NºAsuntos!E13),NºAsuntos!G13/NºAsuntos!E13," - ")</f>
        <v>0.57692307692307687</v>
      </c>
      <c r="AM13" s="871">
        <f>IF(ISNUMBER(((NºAsuntos!I13/NºAsuntos!G13)*11)/factor_trimestre),((NºAsuntos!I13/NºAsuntos!G13)*11)/factor_trimestre," - ")</f>
        <v>11.9</v>
      </c>
      <c r="AN13" s="872">
        <f>IF(ISNUMBER('Resol  Asuntos'!D13/NºAsuntos!G13),'Resol  Asuntos'!D13/NºAsuntos!G13," - ")</f>
        <v>0.25</v>
      </c>
      <c r="AO13" s="873">
        <f>IF(ISNUMBER((NºAsuntos!C13+NºAsuntos!E13)/NºAsuntos!G13),(NºAsuntos!C13+NºAsuntos!E13)/NºAsuntos!G13," - ")</f>
        <v>4.9666666666666668</v>
      </c>
      <c r="AP13" s="874" t="str">
        <f t="shared" si="2"/>
        <v xml:space="preserve"> - </v>
      </c>
      <c r="AQ13" s="874" t="str">
        <f>IF(ISNUMBER((H13-W13+K13)/(F13)),(H13-W13+K13)/(F13)," - ")</f>
        <v xml:space="preserve"> - </v>
      </c>
      <c r="AR13" s="875">
        <f>IF(ISNUMBER((Datos!P13-Datos!Q13)/(Datos!R13-Datos!P13+Datos!Q13)),(Datos!P13-Datos!Q13)/(Datos!R13-Datos!P13+Datos!Q13)," - ")</f>
        <v>-8.9514066496163683E-2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244</v>
      </c>
      <c r="G17" s="332">
        <f>IF(ISNUMBER(IF(D_I="SI",Datos!I17,Datos!I17+Datos!AC17)),IF(D_I="SI",Datos!I17,Datos!I17+Datos!AC17)," - ")</f>
        <v>236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151</v>
      </c>
      <c r="X17" s="225">
        <f>IF(ISNUMBER(Datos!Q17),Datos!Q17," - ")</f>
        <v>1</v>
      </c>
      <c r="Y17" s="333">
        <f t="shared" ref="Y17:Y18" si="9">SUM(W17:X17)</f>
        <v>152</v>
      </c>
      <c r="Z17" s="334" t="str">
        <f>IF(ISNUMBER(Datos!CC17),Datos!CC17," - ")</f>
        <v xml:space="preserve"> - </v>
      </c>
      <c r="AA17" s="331">
        <f>IF(ISNUMBER(IF(D_I="SI",Datos!L17,Datos!L17+Datos!AF17)),IF(D_I="SI",Datos!L17,Datos!L17+Datos!AF17)," - ")</f>
        <v>269</v>
      </c>
      <c r="AB17" s="333">
        <f>IF(ISNUMBER(Datos!R17),Datos!R17," - ")</f>
        <v>12</v>
      </c>
      <c r="AC17" s="333">
        <f t="shared" si="6"/>
        <v>281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26</v>
      </c>
      <c r="AJ17" s="230" t="str">
        <f>IF(ISNUMBER(Datos!BW17),Datos!BW17," - ")</f>
        <v xml:space="preserve"> - </v>
      </c>
      <c r="AK17" s="231" t="str">
        <f>IF(ISNUMBER(Datos!BX17),Datos!BX17," - ")</f>
        <v xml:space="preserve"> - </v>
      </c>
      <c r="AL17" s="242">
        <f>IF(ISNUMBER(NºAsuntos!G17/NºAsuntos!E17),NºAsuntos!G17/NºAsuntos!E17," - ")</f>
        <v>0.85795454545454541</v>
      </c>
      <c r="AM17" s="259">
        <f>IF(ISNUMBER(((NºAsuntos!I17/NºAsuntos!G17)*11)/factor_trimestre),((NºAsuntos!I17/NºAsuntos!G17)*11)/factor_trimestre," - ")</f>
        <v>5.3443708609271532</v>
      </c>
      <c r="AN17" s="243">
        <f>IF(ISNUMBER('Resol  Asuntos'!D17/NºAsuntos!G17),'Resol  Asuntos'!D17/NºAsuntos!G17," - ")</f>
        <v>0.17218543046357615</v>
      </c>
      <c r="AO17" s="244">
        <f>IF(ISNUMBER((NºAsuntos!C17+NºAsuntos!E17)/NºAsuntos!G17),(NºAsuntos!C17+NºAsuntos!E17)/NºAsuntos!G17," - ")</f>
        <v>2.7284768211920531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13</v>
      </c>
      <c r="X18" s="225">
        <f>IF(ISNUMBER(Datos!Q18),Datos!Q18," - ")</f>
        <v>0</v>
      </c>
      <c r="Y18" s="333">
        <f t="shared" si="9"/>
        <v>13</v>
      </c>
      <c r="Z18" s="334" t="str">
        <f>IF(ISNUMBER(Datos!CC18),Datos!CC18," - ")</f>
        <v xml:space="preserve"> - </v>
      </c>
      <c r="AA18" s="331">
        <f>IF(ISNUMBER(Datos!L18),Datos!L18,"-")</f>
        <v>19</v>
      </c>
      <c r="AB18" s="333">
        <f>IF(ISNUMBER(Datos!R18),Datos!R18," - ")</f>
        <v>0</v>
      </c>
      <c r="AC18" s="333">
        <f t="shared" si="6"/>
        <v>19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0.72222222222222221</v>
      </c>
      <c r="AM18" s="259">
        <f>IF(ISNUMBER(((NºAsuntos!I18/NºAsuntos!G18)*11)/factor_trimestre),((NºAsuntos!I18/NºAsuntos!G18)*11)/factor_trimestre," - ")</f>
        <v>4.384615384615385</v>
      </c>
      <c r="AN18" s="243">
        <f>IF(ISNUMBER('Resol  Asuntos'!D18/NºAsuntos!G18),'Resol  Asuntos'!D18/NºAsuntos!G18," - ")</f>
        <v>7.6923076923076927E-2</v>
      </c>
      <c r="AO18" s="244">
        <f>IF(ISNUMBER((NºAsuntos!C18+NºAsuntos!E18)/NºAsuntos!G18),(NºAsuntos!C18+NºAsuntos!E18)/NºAsuntos!G18," - ")</f>
        <v>2.5384615384615383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244</v>
      </c>
      <c r="G19" s="863">
        <f>SUBTOTAL(9,G15:G18)</f>
        <v>251</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164</v>
      </c>
      <c r="X19" s="864">
        <f t="shared" si="13"/>
        <v>1</v>
      </c>
      <c r="Y19" s="865">
        <f t="shared" si="13"/>
        <v>165</v>
      </c>
      <c r="Z19" s="865">
        <f t="shared" si="13"/>
        <v>0</v>
      </c>
      <c r="AA19" s="865">
        <f t="shared" si="13"/>
        <v>288</v>
      </c>
      <c r="AB19" s="865">
        <f t="shared" si="13"/>
        <v>12</v>
      </c>
      <c r="AC19" s="865">
        <f t="shared" si="13"/>
        <v>300</v>
      </c>
      <c r="AD19" s="865">
        <f t="shared" si="13"/>
        <v>0</v>
      </c>
      <c r="AE19" s="869">
        <f t="shared" si="13"/>
        <v>0</v>
      </c>
      <c r="AF19" s="862">
        <f t="shared" si="13"/>
        <v>0</v>
      </c>
      <c r="AG19" s="870">
        <f t="shared" si="13"/>
        <v>0</v>
      </c>
      <c r="AH19" s="867">
        <f t="shared" si="13"/>
        <v>0</v>
      </c>
      <c r="AI19" s="862">
        <f t="shared" si="13"/>
        <v>27</v>
      </c>
      <c r="AJ19" s="864">
        <f t="shared" si="13"/>
        <v>0</v>
      </c>
      <c r="AK19" s="867">
        <f t="shared" si="13"/>
        <v>0</v>
      </c>
      <c r="AL19" s="871">
        <f>IF(ISNUMBER(NºAsuntos!G19/NºAsuntos!E19),NºAsuntos!G19/NºAsuntos!E19," - ")</f>
        <v>0.84536082474226804</v>
      </c>
      <c r="AM19" s="871">
        <f>IF(ISNUMBER(((NºAsuntos!I19/NºAsuntos!G19)*11)/factor_trimestre),((NºAsuntos!I19/NºAsuntos!G19)*11)/factor_trimestre," - ")</f>
        <v>5.2682926829268295</v>
      </c>
      <c r="AN19" s="872">
        <f>IF(ISNUMBER('Resol  Asuntos'!D19/NºAsuntos!G19),'Resol  Asuntos'!D19/NºAsuntos!G19," - ")</f>
        <v>0.16463414634146342</v>
      </c>
      <c r="AO19" s="873">
        <f>IF(ISNUMBER((NºAsuntos!C19+NºAsuntos!E19)/NºAsuntos!G19),(NºAsuntos!C19+NºAsuntos!E19)/NºAsuntos!G19," - ")</f>
        <v>2.7134146341463414</v>
      </c>
      <c r="AP19" s="874" t="str">
        <f t="shared" si="2"/>
        <v xml:space="preserve"> - </v>
      </c>
      <c r="AQ19" s="874">
        <f>IF(ISNUMBER((H19-W19+K19)/(F19)),(H19-W19+K19)/(F19)," - ")</f>
        <v>-0.67213114754098358</v>
      </c>
      <c r="AR19" s="875">
        <f>IF(ISNUMBER((Datos!P19-Datos!Q19)/(Datos!R19-Datos!P19+Datos!Q19)),(Datos!P19-Datos!Q19)/(Datos!R19-Datos!P19+Datos!Q19)," - ")</f>
        <v>-7.6923076923076927E-2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244</v>
      </c>
      <c r="G20" s="818">
        <f t="shared" si="15"/>
        <v>251</v>
      </c>
      <c r="H20" s="817">
        <f t="shared" si="15"/>
        <v>0</v>
      </c>
      <c r="I20" s="819">
        <f t="shared" si="15"/>
        <v>0</v>
      </c>
      <c r="J20" s="819">
        <f t="shared" si="15"/>
        <v>0</v>
      </c>
      <c r="K20" s="878">
        <f t="shared" si="15"/>
        <v>0</v>
      </c>
      <c r="L20" s="819">
        <f t="shared" si="15"/>
        <v>18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164</v>
      </c>
      <c r="X20" s="818">
        <f t="shared" si="16"/>
        <v>54</v>
      </c>
      <c r="Y20" s="825">
        <f t="shared" si="16"/>
        <v>218</v>
      </c>
      <c r="Z20" s="825">
        <f t="shared" si="16"/>
        <v>0</v>
      </c>
      <c r="AA20" s="825">
        <f t="shared" si="16"/>
        <v>289</v>
      </c>
      <c r="AB20" s="825">
        <f t="shared" si="16"/>
        <v>368</v>
      </c>
      <c r="AC20" s="825">
        <f t="shared" si="16"/>
        <v>303</v>
      </c>
      <c r="AD20" s="825">
        <f t="shared" si="16"/>
        <v>0</v>
      </c>
      <c r="AE20" s="827">
        <f t="shared" si="16"/>
        <v>0</v>
      </c>
      <c r="AF20" s="828">
        <f t="shared" si="16"/>
        <v>0</v>
      </c>
      <c r="AG20" s="829">
        <f t="shared" si="16"/>
        <v>0</v>
      </c>
      <c r="AH20" s="827">
        <f t="shared" si="16"/>
        <v>0</v>
      </c>
      <c r="AI20" s="817">
        <f t="shared" si="16"/>
        <v>42</v>
      </c>
      <c r="AJ20" s="817">
        <f t="shared" si="16"/>
        <v>0</v>
      </c>
      <c r="AK20" s="827">
        <f t="shared" si="16"/>
        <v>0</v>
      </c>
      <c r="AL20" s="881">
        <f>IF(ISNUMBER(NºAsuntos!G20/NºAsuntos!E20),NºAsuntos!G20/NºAsuntos!E20," - ")</f>
        <v>0.75167785234899331</v>
      </c>
      <c r="AM20" s="882">
        <f>IF(ISNUMBER(((NºAsuntos!I20/NºAsuntos!G20)*11)/factor_trimestre),((NºAsuntos!I20/NºAsuntos!G20)*11)/factor_trimestre," - ")</f>
        <v>7.0446428571428577</v>
      </c>
      <c r="AN20" s="882">
        <f>IF(ISNUMBER('Resol  Asuntos'!D20/NºAsuntos!G20),'Resol  Asuntos'!D20/NºAsuntos!G20," - ")</f>
        <v>0.1875</v>
      </c>
      <c r="AO20" s="883">
        <f>IF(ISNUMBER((NºAsuntos!C20+NºAsuntos!E20)/NºAsuntos!G20),(NºAsuntos!C20+NºAsuntos!E20)/NºAsuntos!G20," - ")</f>
        <v>3.3169642857142856</v>
      </c>
      <c r="AP20" s="884" t="str">
        <f t="shared" si="2"/>
        <v xml:space="preserve"> - </v>
      </c>
      <c r="AQ20" s="885">
        <f>IF(OR(ISNUMBER(FIND("01",Criterios!A8,1)),ISNUMBER(FIND("02",Criterios!A8,1)),ISNUMBER(FIND("03",Criterios!A8,1)),ISNUMBER(FIND("04",Criterios!A8,1))),(I20-W20+K20)/(F20-K20),(H20-W20+K20)/(F20-K20))</f>
        <v>-0.67213114754098358</v>
      </c>
      <c r="AR20" s="886">
        <f>IF(ISNUMBER((Datos!P20-Datos!Q20)/(Datos!R20-Datos!P20+Datos!Q20)),(Datos!P20-Datos!Q20)/(Datos!R20-Datos!P20+Datos!Q20)," - ")</f>
        <v>-8.9108910891089105E-2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100.4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140.87346568226869</v>
      </c>
      <c r="G22" s="252">
        <f>IF(ISNUMBER(STDEV(G8:G19)),STDEV(G8:G19),"-")</f>
        <v>130.88277197553541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84.186103366291988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11.661903789690601</v>
      </c>
      <c r="AJ22" s="251">
        <f t="shared" si="20"/>
        <v>0</v>
      </c>
      <c r="AK22" s="253">
        <f t="shared" si="20"/>
        <v>0</v>
      </c>
      <c r="AL22" s="248">
        <f t="shared" si="20"/>
        <v>0.3170113952416227</v>
      </c>
      <c r="AM22" s="249">
        <f t="shared" si="20"/>
        <v>3.7849780346453912</v>
      </c>
      <c r="AN22" s="249">
        <f t="shared" si="20"/>
        <v>7.1910112154694394E-2</v>
      </c>
      <c r="AO22" s="250">
        <f t="shared" si="20"/>
        <v>1.2610121882026462</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e8YFmjaCkMlwVWx3h8rOV6ExbOm8gpClMMss6XVMHq8Iu4rM6aB7P37XVY4bE+aUh5Z3v814BzlSGwF5N6+/+A==" saltValue="cyJpzmcru7VzegNtUozOG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SORIA</v>
      </c>
      <c r="E3" s="262"/>
    </row>
    <row r="4" spans="2:20" ht="17.25" customHeight="1" thickBot="1">
      <c r="D4" s="261" t="str">
        <f>Criterios!A11 &amp;"  "&amp;Criterios!B11</f>
        <v>Resumenes por Partidos Judiciales  ALMAZAN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f>IF(ISNUMBER((Datos!J10-Datos!T10)/Datos!T10),(Datos!J10-Datos!T10)/Datos!T10," - ")</f>
        <v>0</v>
      </c>
      <c r="F10" s="347">
        <f>IF(ISNUMBER((Datos!K10-Datos!U10)/Datos!U10),(Datos!K10-Datos!U10)/Datos!U10," - ")</f>
        <v>-1</v>
      </c>
      <c r="G10" s="348" t="str">
        <f>IF(ISNUMBER((Datos!L10-Datos!V10)/Datos!V10),(Datos!L10-Datos!V10)/Datos!V10," - ")</f>
        <v xml:space="preserve"> - </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-0.58333333333333337</v>
      </c>
      <c r="I12" s="349">
        <f>IF(ISNUMBER((Tasas!C12-Datos!BE12)/Datos!BE12),(Tasas!C12-Datos!BE12)/Datos!BE12," - ")</f>
        <v>2.3604477611940298</v>
      </c>
      <c r="J12" s="348">
        <f>IF(ISNUMBER((Tasas!D12-Datos!BF12)/Datos!BF12),(Tasas!D12-Datos!BF12)/Datos!BF12," - ")</f>
        <v>-0.52500000000000002</v>
      </c>
      <c r="K12" s="350">
        <f>IF(ISNUMBER((Tasas!E12-Datos!BG12)/Datos!BG12),(Tasas!E12-Datos!BG12)/Datos!BG12," - ")</f>
        <v>1.2754032258064516</v>
      </c>
      <c r="M12" t="e">
        <f>IF(Monitorios="SI",Datos!CE12,0)</f>
        <v>#REF!</v>
      </c>
      <c r="N12" t="e">
        <f>IF(Monitorios="SI",Datos!CF12,0)</f>
        <v>#REF!</v>
      </c>
      <c r="O12" t="e">
        <f>IF(Monitorios="SI",Datos!CG12,0)</f>
        <v>#REF!</v>
      </c>
      <c r="P12" t="e">
        <f>IF(Monitorios="SI",Datos!CH12,0)</f>
        <v>#REF!</v>
      </c>
      <c r="Q12">
        <f>IF(J_V="SI",0,Datos!AG12)</f>
        <v>8</v>
      </c>
      <c r="R12">
        <f>IF(J_V="SI",0,Datos!AH12)</f>
        <v>15</v>
      </c>
      <c r="S12">
        <f>IF(J_V="SI",0,Datos!AI12)</f>
        <v>14</v>
      </c>
      <c r="T12">
        <f>IF(J_V="SI",0,Datos!AJ12)</f>
        <v>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-0.59459459459459463</v>
      </c>
      <c r="I13" s="356">
        <f>IF(ISNUMBER((Tasas!C13-Datos!BE13)/Datos!BE13),(Tasas!C13-Datos!BE13)/Datos!BE13," - ")</f>
        <v>2.3943615257048094</v>
      </c>
      <c r="J13" s="354">
        <f>IF(ISNUMBER((Tasas!D13-Datos!BF13)/Datos!BF13),(Tasas!D13-Datos!BF13)/Datos!BF13," - ")</f>
        <v>-0.52747252747252749</v>
      </c>
      <c r="K13" s="357">
        <f>IF(ISNUMBER((Tasas!E13-Datos!BG13)/Datos!BG13),(Tasas!E13-Datos!BG13)/Datos!BG13," - ")</f>
        <v>1.2902591599642541</v>
      </c>
      <c r="M13" t="e">
        <f>IF(Monitorios="SI",Datos!CE13,0)</f>
        <v>#REF!</v>
      </c>
      <c r="N13" t="e">
        <f>IF(Monitorios="SI",Datos!CF13,0)</f>
        <v>#REF!</v>
      </c>
      <c r="O13" t="e">
        <f>IF(Monitorios="SI",Datos!CG13,0)</f>
        <v>#REF!</v>
      </c>
      <c r="P13" t="e">
        <f>IF(Monitorios="SI",Datos!CH13,0)</f>
        <v>#REF!</v>
      </c>
      <c r="Q13">
        <f>IF(J_V="SI",0,Datos!AG13)</f>
        <v>8</v>
      </c>
      <c r="R13">
        <f>IF(J_V="SI",0,Datos!AH13)</f>
        <v>15</v>
      </c>
      <c r="S13">
        <f>IF(J_V="SI",0,Datos!AI13)</f>
        <v>14</v>
      </c>
      <c r="T13">
        <f>IF(J_V="SI",0,Datos!AJ13)</f>
        <v>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0.61643835616438358</v>
      </c>
      <c r="E17" s="347">
        <f>IF(ISNUMBER(
   IF(D_I="SI",(Datos!J17-Datos!T17)/Datos!T17,(Datos!J17+Datos!AD17-(Datos!T17+Datos!AL17))/(Datos!T17+Datos!AL17))
     ),IF(D_I="SI",(Datos!J17-Datos!T17)/Datos!T17,(Datos!J17+Datos!AD17-(Datos!T17+Datos!AL17))/(Datos!T17+Datos!AL17))," - ")</f>
        <v>5.7142857142857143E-3</v>
      </c>
      <c r="F17" s="347">
        <f>IF(ISNUMBER(
   IF(D_I="SI",(Datos!K17-Datos!U17)/Datos!U17,(Datos!K17+Datos!AE17-(Datos!U17+Datos!AM17))/(Datos!U17+Datos!AM17))
     ),IF(D_I="SI",(Datos!K17-Datos!U17)/Datos!U17,(Datos!K17+Datos!AE17-(Datos!U17+Datos!AM17))/(Datos!U17+Datos!AM17))," - ")</f>
        <v>-0.16111111111111112</v>
      </c>
      <c r="G17" s="348">
        <f>IF(ISNUMBER(
   IF(D_I="SI",(Datos!L17-Datos!V17)/Datos!V17,(Datos!L17+Datos!AF17-(Datos!V17+Datos!AN17))/(Datos!V17+Datos!AN17))
     ),IF(D_I="SI",(Datos!L17-Datos!V17)/Datos!V17,(Datos!L17+Datos!AF17-(Datos!V17+Datos!AN17))/(Datos!V17+Datos!AN17))," - ")</f>
        <v>0.80536912751677847</v>
      </c>
      <c r="H17" s="229">
        <f>IF(ISNUMBER((Datos!M17-Datos!W17)/Datos!W17),(Datos!M17-Datos!W17)/Datos!W17," - ")</f>
        <v>0.04</v>
      </c>
      <c r="I17" s="349">
        <f>IF(ISNUMBER((Tasas!C17-Datos!BE17)/Datos!BE17),(Tasas!C17-Datos!BE17)/Datos!BE17," - ")</f>
        <v>1.1520956486954976</v>
      </c>
      <c r="J17" s="348">
        <f>IF(ISNUMBER((Tasas!D17-Datos!BF17)/Datos!BF17),(Tasas!D17-Datos!BF17)/Datos!BF17," - ")</f>
        <v>0.23973509933774823</v>
      </c>
      <c r="K17" s="350">
        <f>IF(ISNUMBER((Tasas!E17-Datos!BG17)/Datos!BG17),(Tasas!E17-Datos!BG17)/Datos!BG17," - ")</f>
        <v>0.52998700253759978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0.15384615384615385</v>
      </c>
      <c r="E18" s="347">
        <f>IF(ISNUMBER(
   IF(D_I="SI",(Datos!J18-Datos!T18)/Datos!T18,(Datos!J18+Datos!AD18-(Datos!T18+Datos!AL18))/(Datos!T18+Datos!AL18))
     ),IF(D_I="SI",(Datos!J18-Datos!T18)/Datos!T18,(Datos!J18+Datos!AD18-(Datos!T18+Datos!AL18))/(Datos!T18+Datos!AL18))," - ")</f>
        <v>0.38461538461538464</v>
      </c>
      <c r="F18" s="347">
        <f>IF(ISNUMBER(
   IF(D_I="SI",(Datos!K18-Datos!U18)/Datos!U18,(Datos!K18+Datos!AE18-(Datos!U18+Datos!AM18))/(Datos!U18+Datos!AM18))
     ),IF(D_I="SI",(Datos!K18-Datos!U18)/Datos!U18,(Datos!K18+Datos!AE18-(Datos!U18+Datos!AM18))/(Datos!U18+Datos!AM18))," - ")</f>
        <v>-7.1428571428571425E-2</v>
      </c>
      <c r="G18" s="348">
        <f>IF(ISNUMBER(
   IF(D_I="SI",(Datos!L18-Datos!V18)/Datos!V18,(Datos!L18+Datos!AF18-(Datos!V18+Datos!AN18))/(Datos!V18+Datos!AN18))
     ),IF(D_I="SI",(Datos!L18-Datos!V18)/Datos!V18,(Datos!L18+Datos!AF18-(Datos!V18+Datos!AN18))/(Datos!V18+Datos!AN18))," - ")</f>
        <v>0.58333333333333337</v>
      </c>
      <c r="H18" s="229">
        <f>IF(ISNUMBER((Datos!M18-Datos!W18)/Datos!W18),(Datos!M18-Datos!W18)/Datos!W18," - ")</f>
        <v>-0.75</v>
      </c>
      <c r="I18" s="349">
        <f>IF(ISNUMBER((Tasas!C18-Datos!BE18)/Datos!BE18),(Tasas!C18-Datos!BE18)/Datos!BE18," - ")</f>
        <v>0.70512820512820518</v>
      </c>
      <c r="J18" s="348">
        <f>IF(ISNUMBER((Tasas!D18-Datos!BF18)/Datos!BF18),(Tasas!D18-Datos!BF18)/Datos!BF18," - ")</f>
        <v>-0.73076923076923073</v>
      </c>
      <c r="K18" s="350">
        <f>IF(ISNUMBER((Tasas!E18-Datos!BG18)/Datos!BG18),(Tasas!E18-Datos!BG18)/Datos!BG18," - ")</f>
        <v>0.36686390532544366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0.57861635220125784</v>
      </c>
      <c r="E19" s="353">
        <f>IF(ISNUMBER(
   IF(D_I="SI",(Datos!J19-Datos!T19)/Datos!T19,(Datos!J19+Datos!AD19-(Datos!T19+Datos!AL19))/(Datos!T19+Datos!AL19))
     ),IF(D_I="SI",(Datos!J19-Datos!T19)/Datos!T19,(Datos!J19+Datos!AD19-(Datos!T19+Datos!AL19))/(Datos!T19+Datos!AL19))," - ")</f>
        <v>3.1914893617021274E-2</v>
      </c>
      <c r="F19" s="353">
        <f>IF(ISNUMBER(
   IF(D_I="SI",(Datos!K19-Datos!U19)/Datos!U19,(Datos!K19+Datos!AE19-(Datos!U19+Datos!AM19))/(Datos!U19+Datos!AM19))
     ),IF(D_I="SI",(Datos!K19-Datos!U19)/Datos!U19,(Datos!K19+Datos!AE19-(Datos!U19+Datos!AM19))/(Datos!U19+Datos!AM19))," - ")</f>
        <v>-0.15463917525773196</v>
      </c>
      <c r="G19" s="354">
        <f>IF(ISNUMBER(
   IF(D_I="SI",(Datos!L19-Datos!V19)/Datos!V19,(Datos!L19+Datos!AF19-(Datos!V19+Datos!AN19))/(Datos!V19+Datos!AN19))
     ),IF(D_I="SI",(Datos!L19-Datos!V19)/Datos!V19,(Datos!L19+Datos!AF19-(Datos!V19+Datos!AN19))/(Datos!V19+Datos!AN19))," - ")</f>
        <v>0.78881987577639756</v>
      </c>
      <c r="H19" s="355">
        <f>IF(ISNUMBER((Datos!M19-Datos!W19)/Datos!W19),(Datos!M19-Datos!W19)/Datos!W19," - ")</f>
        <v>-6.8965517241379309E-2</v>
      </c>
      <c r="I19" s="356">
        <f>IF(ISNUMBER((Tasas!C19-Datos!BE19)/Datos!BE19),(Tasas!C19-Datos!BE19)/Datos!BE19," - ")</f>
        <v>1.1160430237842749</v>
      </c>
      <c r="J19" s="354">
        <f>IF(ISNUMBER((Tasas!D19-Datos!BF19)/Datos!BF19),(Tasas!D19-Datos!BF19)/Datos!BF19," - ")</f>
        <v>0.10134566862910016</v>
      </c>
      <c r="K19" s="357">
        <f>IF(ISNUMBER((Tasas!E19-Datos!BG19)/Datos!BG19),(Tasas!E19-Datos!BG19)/Datos!BG19," - ")</f>
        <v>0.51700991073311298</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2.771362586605081E-2</v>
      </c>
      <c r="E20" s="362">
        <f>IF(ISNUMBER(
   IF(J_V="SI",(Datos!J20-Datos!T20)/Datos!T20,(Datos!J20+Datos!Z20-(Datos!T20+Datos!AH20))/(Datos!T20+Datos!AH20))
     ),IF(J_V="SI",(Datos!J20-Datos!T20)/Datos!T20,(Datos!J20+Datos!Z20-(Datos!T20+Datos!AH20))/(Datos!T20+Datos!AH20))," - ")</f>
        <v>3.8327526132404179E-2</v>
      </c>
      <c r="F20" s="362">
        <f>IF(ISNUMBER(
   IF(J_V="SI",(Datos!K20-Datos!U20)/Datos!U20,(Datos!K20+Datos!AA20-(Datos!U20+Datos!AI20))/(Datos!U20+Datos!AI20))
     ),IF(J_V="SI",(Datos!K20-Datos!U20)/Datos!U20,(Datos!K20+Datos!AA20-(Datos!U20+Datos!AI20))/(Datos!U20+Datos!AI20))," - ")</f>
        <v>-0.38797814207650272</v>
      </c>
      <c r="G20" s="363">
        <f>IF(ISNUMBER(
   IF(J_V="SI",(Datos!L20-Datos!V20)/Datos!V20,(Datos!L20+Datos!AB20-(Datos!V20+Datos!AJ20))/(Datos!V20+Datos!AJ20))
     ),IF(J_V="SI",(Datos!L20-Datos!V20)/Datos!V20,(Datos!L20+Datos!AB20-(Datos!V20+Datos!AJ20))/(Datos!V20+Datos!AJ20))," - ")</f>
        <v>0.45303867403314918</v>
      </c>
      <c r="H20" s="364">
        <f>IF(ISNUMBER((Datos!M20-Datos!W20)/Datos!W20),(Datos!M20-Datos!W20)/Datos!W20," - ")</f>
        <v>-0.36363636363636365</v>
      </c>
      <c r="I20" s="361">
        <f>IF(ISNUMBER((Tasas!C20-Datos!BE20)/Datos!BE20),(Tasas!C20-Datos!BE20)/Datos!BE20," - ")</f>
        <v>1.374161404893449</v>
      </c>
      <c r="J20" s="362">
        <f>IF(ISNUMBER((Tasas!D20-Datos!BF20)/Datos!BF20),(Tasas!D20-Datos!BF20)/Datos!BF20," - ")</f>
        <v>-0.42812499999999998</v>
      </c>
      <c r="K20" s="363">
        <f>IF(ISNUMBER((Tasas!E20-Datos!BG20)/Datos!BG20),(Tasas!E20-Datos!BG20)/Datos!BG20," - ")</f>
        <v>0.68612351190476184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0.25685656536935519</v>
      </c>
      <c r="E22" s="277">
        <f t="shared" si="1"/>
        <v>0.18655436172245485</v>
      </c>
      <c r="F22" s="277">
        <f t="shared" si="1"/>
        <v>0.43738076835641349</v>
      </c>
      <c r="G22" s="278">
        <f t="shared" si="1"/>
        <v>0.12369215197217419</v>
      </c>
      <c r="H22" s="284">
        <f t="shared" si="1"/>
        <v>0.40136607012876829</v>
      </c>
      <c r="I22" s="276">
        <f t="shared" si="1"/>
        <v>0.77944382552010494</v>
      </c>
      <c r="J22" s="277">
        <f t="shared" si="1"/>
        <v>0.43001573631308171</v>
      </c>
      <c r="K22" s="278">
        <f t="shared" si="1"/>
        <v>0.44913129960402282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C5XRqUr8+AkCXdz/Mz/LJb+nYnBkUgq2A4sB+Kshdbqdfw2Wk++sUL5Rjs8YfuK/eRV0DAjCtZAf7OPYr0W6jA==" saltValue="sPiNkEGkFre/Dr0SrbAWt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1</v>
      </c>
      <c r="F10" s="225">
        <f>IF(ISNUMBER(Datos!K10),Datos!K10," - ")</f>
        <v>0</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43.45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244</v>
      </c>
      <c r="D17" s="224">
        <f>IF(ISNUMBER(IF(D_I="SI",Datos!I17,Datos!I17+Datos!AC17)),IF(D_I="SI",Datos!I17,Datos!I17+Datos!AC17)," - ")</f>
        <v>236</v>
      </c>
      <c r="E17" s="225">
        <f>IF(ISNUMBER(IF(D_I="SI",Datos!J17,Datos!J17+Datos!AD17)),IF(D_I="SI",Datos!J17,Datos!J17+Datos!AD17)," - ")</f>
        <v>176</v>
      </c>
      <c r="F17" s="225">
        <f>IF(ISNUMBER(IF(D_I="SI",Datos!K17,Datos!K17+Datos!AE17)),IF(D_I="SI",Datos!K17,Datos!K17+Datos!AE17)," - ")</f>
        <v>151</v>
      </c>
      <c r="G17" s="1029" t="str">
        <f>IF(Datos!E17&lt;&gt;"",Datos!E17,Datos!D17)</f>
        <v>04</v>
      </c>
      <c r="H17" s="226">
        <f>IF(ISNUMBER(IF(D_I="SI",Datos!L17,Datos!L17+Datos!AF17)),IF(D_I="SI",Datos!L17,Datos!L17+Datos!AF17)," - ")</f>
        <v>269</v>
      </c>
      <c r="I17" s="1039" t="str">
        <f>IF(ISNUMBER(Datos!AS17/Datos!BM17),Datos!AS17/Datos!BM17," - ")</f>
        <v xml:space="preserve"> - </v>
      </c>
      <c r="J17" s="1040">
        <f>IF(ISNUMBER(Datos!BY17/Datos!CN17),Datos!BY17/Datos!CN17," - ")</f>
        <v>0</v>
      </c>
      <c r="K17" s="229">
        <f t="shared" si="3"/>
        <v>0.10245901639344263</v>
      </c>
      <c r="L17" s="1020">
        <f>IF(ISNUMBER(NºAsuntos!I17/NºAsuntos!G17),(NºAsuntos!I17/NºAsuntos!G17)*11," - ")</f>
        <v>19.596026490066226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14</v>
      </c>
      <c r="D18" s="224">
        <f>IF(ISNUMBER(IF(D_I="SI",Datos!I18,Datos!I18+Datos!AC18)),IF(D_I="SI",Datos!I18,Datos!I18+Datos!AC18)," - ")</f>
        <v>15</v>
      </c>
      <c r="E18" s="225">
        <f>IF(ISNUMBER(IF(D_I="SI",Datos!J18,Datos!J18+Datos!AD18)),IF(D_I="SI",Datos!J18,Datos!J18+Datos!AD18)," - ")</f>
        <v>18</v>
      </c>
      <c r="F18" s="225">
        <f>IF(ISNUMBER(IF(D_I="SI",Datos!K18,Datos!K18+Datos!AE18)),IF(D_I="SI",Datos!K18,Datos!K18+Datos!AE18)," - ")</f>
        <v>13</v>
      </c>
      <c r="G18" s="1029" t="str">
        <f>IF(Datos!E18&lt;&gt;"",Datos!E18,Datos!D18)</f>
        <v>37</v>
      </c>
      <c r="H18" s="226">
        <f>IF(ISNUMBER(IF(D_I="SI",Datos!L18,Datos!L18+Datos!AF18)),IF(D_I="SI",Datos!L18,Datos!L18+Datos!AF18)," - ")</f>
        <v>19</v>
      </c>
      <c r="I18" s="1039" t="str">
        <f>IF(ISNUMBER(Datos!AS18/Datos!BM18),Datos!AS18/Datos!BM18," - ")</f>
        <v xml:space="preserve"> - </v>
      </c>
      <c r="J18" s="1040" t="str">
        <f>IF(ISNUMBER((Datos!BY18+Datos!BZ18)/Datos!CN18),(Datos!BY18+Datos!BZ18)/Datos!CN18," - ")</f>
        <v xml:space="preserve"> - </v>
      </c>
      <c r="K18" s="229">
        <f t="shared" si="3"/>
        <v>0.35714285714285715</v>
      </c>
      <c r="L18" s="1020">
        <f>IF(ISNUMBER(NºAsuntos!I18/NºAsuntos!G18),(NºAsuntos!I18/NºAsuntos!G18)*11," - ")</f>
        <v>16.076923076923077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258</v>
      </c>
      <c r="D19" s="1044">
        <f>SUBTOTAL(9,D15:D18)</f>
        <v>251</v>
      </c>
      <c r="E19" s="1045">
        <f>SUBTOTAL(9,E15:E18)</f>
        <v>194</v>
      </c>
      <c r="F19" s="1045">
        <f>SUBTOTAL(9,F15:F18)</f>
        <v>164</v>
      </c>
      <c r="G19" s="1047" t="str">
        <f ca="1">INDIRECT(CONCATENATE("G",ROW()-1))</f>
        <v>37</v>
      </c>
      <c r="H19" s="1048">
        <f ca="1">SUMIF(G$14:G18,G19,H$14:H18)</f>
        <v>19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258</v>
      </c>
      <c r="D20" s="1066">
        <f>SUBTOTAL(9,D9:D19)</f>
        <v>251</v>
      </c>
      <c r="E20" s="1067">
        <f>SUBTOTAL(9,E9:E19)</f>
        <v>195</v>
      </c>
      <c r="F20" s="1067">
        <f>SUBTOTAL(9,F9:F19)</f>
        <v>164</v>
      </c>
      <c r="G20" s="1068"/>
      <c r="H20" s="1069">
        <f ca="1">SUMIF(B9:B19,"TOTAL",H9:H19)</f>
        <v>19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qTnBKqotHuvW5zczGgNYevvHRfyZkQph7yGHndqcotZtTikwOHMtSVFctTiDBhA0L3nqOgWV0JStIHEFysCGw==" saltValue="iQx9xNphSzdyvZ6d1KVy6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9ggLupBTsrFoa9O8HXd1Flyq2fN4PxFcqcBwYc5lYlF8vwojEExNpMvV2H8HgCY1qeXvBZdroHUQyQDNOaJyzw==" saltValue="esN992PXfLESNDCWE/akf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SORIA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1</v>
      </c>
      <c r="K10" s="180">
        <v>0</v>
      </c>
      <c r="L10" s="180">
        <v>1</v>
      </c>
      <c r="M10" s="180">
        <v>0</v>
      </c>
      <c r="N10" s="180">
        <v>0</v>
      </c>
      <c r="O10" s="180">
        <v>0</v>
      </c>
      <c r="P10" s="180">
        <v>1</v>
      </c>
      <c r="Q10" s="180">
        <v>0</v>
      </c>
      <c r="R10" s="180">
        <v>2</v>
      </c>
      <c r="S10" s="180">
        <v>0</v>
      </c>
      <c r="T10" s="180">
        <v>1</v>
      </c>
      <c r="U10" s="180">
        <v>1</v>
      </c>
      <c r="V10" s="180">
        <v>0</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1</v>
      </c>
      <c r="BA10" s="129">
        <f t="shared" si="0"/>
        <v>1</v>
      </c>
      <c r="BB10" s="129">
        <f t="shared" si="0"/>
        <v>0</v>
      </c>
      <c r="BC10" s="125">
        <f t="shared" si="0"/>
        <v>1</v>
      </c>
      <c r="BD10" s="126">
        <f>IF(ISNUMBER(BA10/AZ10),BA10/AZ10," - ")</f>
        <v>1</v>
      </c>
      <c r="BE10" s="127">
        <f>IF(ISNUMBER(BB10/BA10),BB10/BA10, " - ")</f>
        <v>0</v>
      </c>
      <c r="BF10" s="127">
        <f>IF(ISNUMBER(BC10/BA10),BC10/BA10, " - ")</f>
        <v>1</v>
      </c>
      <c r="BG10" s="195">
        <f>IF(ISNUMBER((AY10+AZ10)/BA10),(AY10+AZ10)/BA10," - ")</f>
        <v>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181</v>
      </c>
      <c r="J12" s="182">
        <v>93</v>
      </c>
      <c r="K12" s="182">
        <v>50</v>
      </c>
      <c r="L12" s="182">
        <v>224</v>
      </c>
      <c r="M12" s="182">
        <v>15</v>
      </c>
      <c r="N12" s="182">
        <v>29</v>
      </c>
      <c r="O12" s="180">
        <v>35</v>
      </c>
      <c r="P12" s="182">
        <v>17</v>
      </c>
      <c r="Q12" s="182">
        <v>53</v>
      </c>
      <c r="R12" s="182">
        <v>354</v>
      </c>
      <c r="S12" s="182">
        <v>266</v>
      </c>
      <c r="T12" s="182">
        <v>83</v>
      </c>
      <c r="U12" s="182">
        <v>157</v>
      </c>
      <c r="V12" s="182">
        <v>192</v>
      </c>
      <c r="W12" s="182">
        <v>36</v>
      </c>
      <c r="X12" s="188">
        <v>90</v>
      </c>
      <c r="Y12" s="190">
        <v>13</v>
      </c>
      <c r="Z12" s="180">
        <v>10</v>
      </c>
      <c r="AA12" s="180">
        <v>10</v>
      </c>
      <c r="AB12" s="180">
        <v>13</v>
      </c>
      <c r="AC12" s="182">
        <v>0</v>
      </c>
      <c r="AD12" s="182">
        <v>0</v>
      </c>
      <c r="AE12" s="182">
        <v>0</v>
      </c>
      <c r="AF12" s="188">
        <v>0</v>
      </c>
      <c r="AG12" s="201">
        <v>8</v>
      </c>
      <c r="AH12" s="182">
        <v>15</v>
      </c>
      <c r="AI12" s="182">
        <v>14</v>
      </c>
      <c r="AJ12" s="202">
        <v>9</v>
      </c>
      <c r="AK12" s="181">
        <v>0</v>
      </c>
      <c r="AL12" s="182">
        <v>0</v>
      </c>
      <c r="AM12" s="182">
        <v>0</v>
      </c>
      <c r="AN12" s="188">
        <v>0</v>
      </c>
      <c r="AO12" s="258">
        <v>1</v>
      </c>
      <c r="AP12" s="154">
        <v>1</v>
      </c>
      <c r="AQ12" s="154">
        <v>1</v>
      </c>
      <c r="AR12" s="153">
        <v>1</v>
      </c>
      <c r="AS12" s="339" t="s">
        <v>766</v>
      </c>
      <c r="AT12" s="202"/>
      <c r="AU12" s="201"/>
      <c r="AV12" s="202"/>
      <c r="AW12" s="201"/>
      <c r="AX12" s="202"/>
      <c r="AY12" s="126">
        <f t="shared" si="1"/>
        <v>274</v>
      </c>
      <c r="AZ12" s="127">
        <f t="shared" si="1"/>
        <v>98</v>
      </c>
      <c r="BA12" s="127">
        <f t="shared" si="1"/>
        <v>171</v>
      </c>
      <c r="BB12" s="127">
        <f t="shared" si="1"/>
        <v>201</v>
      </c>
      <c r="BC12" s="125">
        <f>IF(ISNUMBER(X12),X12," - ")</f>
        <v>90</v>
      </c>
      <c r="BD12" s="126">
        <f t="shared" si="2"/>
        <v>1.7448979591836735</v>
      </c>
      <c r="BE12" s="127">
        <f t="shared" si="3"/>
        <v>1.1754385964912282</v>
      </c>
      <c r="BF12" s="127">
        <f t="shared" si="4"/>
        <v>0.52631578947368418</v>
      </c>
      <c r="BG12" s="195">
        <f t="shared" si="5"/>
        <v>2.1754385964912282</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181</v>
      </c>
      <c r="J13" s="183">
        <f t="shared" si="6"/>
        <v>94</v>
      </c>
      <c r="K13" s="183">
        <f t="shared" si="6"/>
        <v>50</v>
      </c>
      <c r="L13" s="183">
        <f t="shared" si="6"/>
        <v>225</v>
      </c>
      <c r="M13" s="183">
        <f t="shared" si="6"/>
        <v>15</v>
      </c>
      <c r="N13" s="183">
        <f t="shared" si="6"/>
        <v>29</v>
      </c>
      <c r="O13" s="183">
        <f t="shared" si="6"/>
        <v>35</v>
      </c>
      <c r="P13" s="183">
        <f t="shared" si="6"/>
        <v>18</v>
      </c>
      <c r="Q13" s="183">
        <f t="shared" si="6"/>
        <v>53</v>
      </c>
      <c r="R13" s="183">
        <f t="shared" si="6"/>
        <v>356</v>
      </c>
      <c r="S13" s="183">
        <f t="shared" si="6"/>
        <v>266</v>
      </c>
      <c r="T13" s="183">
        <f t="shared" si="6"/>
        <v>84</v>
      </c>
      <c r="U13" s="183">
        <f t="shared" si="6"/>
        <v>158</v>
      </c>
      <c r="V13" s="183">
        <f t="shared" si="6"/>
        <v>192</v>
      </c>
      <c r="W13" s="183">
        <f t="shared" si="6"/>
        <v>37</v>
      </c>
      <c r="X13" s="183">
        <f t="shared" si="6"/>
        <v>90</v>
      </c>
      <c r="Y13" s="183">
        <f t="shared" si="6"/>
        <v>13</v>
      </c>
      <c r="Z13" s="183">
        <f t="shared" si="6"/>
        <v>10</v>
      </c>
      <c r="AA13" s="183">
        <f t="shared" si="6"/>
        <v>10</v>
      </c>
      <c r="AB13" s="183">
        <f t="shared" si="6"/>
        <v>13</v>
      </c>
      <c r="AC13" s="183">
        <f t="shared" si="6"/>
        <v>0</v>
      </c>
      <c r="AD13" s="183">
        <f t="shared" si="6"/>
        <v>0</v>
      </c>
      <c r="AE13" s="183">
        <f t="shared" si="6"/>
        <v>0</v>
      </c>
      <c r="AF13" s="183">
        <f>SUBTOTAL(9,AF9:AF12)</f>
        <v>0</v>
      </c>
      <c r="AG13" s="183">
        <f t="shared" ref="AG13:AT13" si="7">SUBTOTAL(9,AG8:AG12)</f>
        <v>8</v>
      </c>
      <c r="AH13" s="183">
        <f t="shared" si="7"/>
        <v>15</v>
      </c>
      <c r="AI13" s="183">
        <f t="shared" si="7"/>
        <v>14</v>
      </c>
      <c r="AJ13" s="183">
        <f t="shared" si="7"/>
        <v>9</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274</v>
      </c>
      <c r="AZ13" s="183">
        <f>SUBTOTAL(9,AZ8:AZ12)</f>
        <v>99</v>
      </c>
      <c r="BA13" s="183">
        <f>SUBTOTAL(9,BA8:BA12)</f>
        <v>172</v>
      </c>
      <c r="BB13" s="183">
        <f>SUBTOTAL(9,BB8:BB12)</f>
        <v>201</v>
      </c>
      <c r="BC13" s="183">
        <f>SUBTOTAL(9,BC8:BC12)</f>
        <v>91</v>
      </c>
      <c r="BD13" s="204">
        <f>IF(ISNUMBER(BA13/AZ13),BA13/AZ13," - ")</f>
        <v>1.7373737373737375</v>
      </c>
      <c r="BE13" s="205">
        <f>IF(ISNUMBER(BB13/BA13),BB13/BA13, " - ")</f>
        <v>1.1686046511627908</v>
      </c>
      <c r="BF13" s="205">
        <f>IF(ISNUMBER(BC13/BA13),BC13/BA13, " - ")</f>
        <v>0.52906976744186052</v>
      </c>
      <c r="BG13" s="206">
        <f>IF(ISNUMBER((AY13+AZ13)/BA13),(AY13+AZ13)/BA13," - ")</f>
        <v>2.1686046511627906</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236</v>
      </c>
      <c r="J17" s="182">
        <v>176</v>
      </c>
      <c r="K17" s="182">
        <v>151</v>
      </c>
      <c r="L17" s="182">
        <v>269</v>
      </c>
      <c r="M17" s="182">
        <v>26</v>
      </c>
      <c r="N17" s="182">
        <v>69</v>
      </c>
      <c r="O17" s="180">
        <v>1</v>
      </c>
      <c r="P17" s="182">
        <v>0</v>
      </c>
      <c r="Q17" s="182">
        <v>1</v>
      </c>
      <c r="R17" s="182">
        <v>12</v>
      </c>
      <c r="S17" s="182">
        <v>146</v>
      </c>
      <c r="T17" s="182">
        <v>175</v>
      </c>
      <c r="U17" s="182">
        <v>180</v>
      </c>
      <c r="V17" s="182">
        <v>149</v>
      </c>
      <c r="W17" s="182">
        <v>25</v>
      </c>
      <c r="X17" s="188">
        <v>97</v>
      </c>
      <c r="Y17" s="201">
        <v>0</v>
      </c>
      <c r="Z17" s="182">
        <v>0</v>
      </c>
      <c r="AA17" s="182">
        <v>0</v>
      </c>
      <c r="AB17" s="182">
        <v>0</v>
      </c>
      <c r="AC17" s="182">
        <v>1</v>
      </c>
      <c r="AD17" s="182">
        <v>0</v>
      </c>
      <c r="AE17" s="182">
        <v>0</v>
      </c>
      <c r="AF17" s="188">
        <v>1</v>
      </c>
      <c r="AG17" s="201">
        <v>0</v>
      </c>
      <c r="AH17" s="182">
        <v>0</v>
      </c>
      <c r="AI17" s="182">
        <v>0</v>
      </c>
      <c r="AJ17" s="202">
        <v>0</v>
      </c>
      <c r="AK17" s="181">
        <v>0</v>
      </c>
      <c r="AL17" s="182">
        <v>1</v>
      </c>
      <c r="AM17" s="182">
        <v>0</v>
      </c>
      <c r="AN17" s="188">
        <v>1</v>
      </c>
      <c r="AO17" s="258">
        <v>1</v>
      </c>
      <c r="AP17" s="154">
        <v>1</v>
      </c>
      <c r="AQ17" s="154">
        <v>1</v>
      </c>
      <c r="AR17" s="154">
        <v>1</v>
      </c>
      <c r="AS17" s="339" t="s">
        <v>486</v>
      </c>
      <c r="AT17" s="202"/>
      <c r="AU17" s="201"/>
      <c r="AV17" s="202"/>
      <c r="AW17" s="201"/>
      <c r="AX17" s="202"/>
      <c r="AY17" s="126">
        <f t="shared" si="9"/>
        <v>146</v>
      </c>
      <c r="AZ17" s="127">
        <f t="shared" si="9"/>
        <v>175</v>
      </c>
      <c r="BA17" s="127">
        <f t="shared" si="9"/>
        <v>180</v>
      </c>
      <c r="BB17" s="127">
        <f t="shared" si="9"/>
        <v>149</v>
      </c>
      <c r="BC17" s="125">
        <f>IF(ISNUMBER(W17),W17," - ")</f>
        <v>25</v>
      </c>
      <c r="BD17" s="126">
        <f t="shared" ref="BD17" si="16">IF(ISNUMBER(BA17/AZ17),BA17/AZ17," - ")</f>
        <v>1.0285714285714285</v>
      </c>
      <c r="BE17" s="127">
        <f t="shared" ref="BE17" si="17">IF(ISNUMBER(BB17/BA17),BB17/BA17, " - ")</f>
        <v>0.82777777777777772</v>
      </c>
      <c r="BF17" s="127">
        <f t="shared" ref="BF17" si="18">IF(ISNUMBER(BC17/BA17),BC17/BA17, " - ")</f>
        <v>0.1388888888888889</v>
      </c>
      <c r="BG17" s="195">
        <f t="shared" si="10"/>
        <v>1.7833333333333334</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15</v>
      </c>
      <c r="J18" s="182">
        <v>18</v>
      </c>
      <c r="K18" s="182">
        <v>13</v>
      </c>
      <c r="L18" s="182">
        <v>19</v>
      </c>
      <c r="M18" s="182">
        <v>1</v>
      </c>
      <c r="N18" s="182">
        <v>7</v>
      </c>
      <c r="O18" s="182">
        <v>0</v>
      </c>
      <c r="P18" s="182">
        <v>0</v>
      </c>
      <c r="Q18" s="182">
        <v>0</v>
      </c>
      <c r="R18" s="182">
        <v>0</v>
      </c>
      <c r="S18" s="182">
        <v>13</v>
      </c>
      <c r="T18" s="182">
        <v>13</v>
      </c>
      <c r="U18" s="182">
        <v>14</v>
      </c>
      <c r="V18" s="182">
        <v>12</v>
      </c>
      <c r="W18" s="182">
        <v>4</v>
      </c>
      <c r="X18" s="188">
        <v>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13</v>
      </c>
      <c r="AZ18" s="129">
        <f t="shared" si="19"/>
        <v>13</v>
      </c>
      <c r="BA18" s="129">
        <f t="shared" si="19"/>
        <v>14</v>
      </c>
      <c r="BB18" s="129">
        <f t="shared" si="19"/>
        <v>12</v>
      </c>
      <c r="BC18" s="125">
        <f>IF(ISNUMBER(W18),W18," - ")</f>
        <v>4</v>
      </c>
      <c r="BD18" s="126">
        <f>IF(ISNUMBER(BA18/AZ18),BA18/AZ18," - ")</f>
        <v>1.0769230769230769</v>
      </c>
      <c r="BE18" s="127">
        <f>IF(ISNUMBER(BB18/BA18),BB18/BA18, " - ")</f>
        <v>0.8571428571428571</v>
      </c>
      <c r="BF18" s="127">
        <f>IF(ISNUMBER(BC18/BA18),BC18/BA18, " - ")</f>
        <v>0.2857142857142857</v>
      </c>
      <c r="BG18" s="195">
        <f>IF(ISNUMBER((AY18+AZ18)/BA18),(AY18+AZ18)/BA18," - ")</f>
        <v>1.8571428571428572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251</v>
      </c>
      <c r="J19" s="183">
        <f t="shared" si="20"/>
        <v>194</v>
      </c>
      <c r="K19" s="183">
        <f t="shared" si="20"/>
        <v>164</v>
      </c>
      <c r="L19" s="183">
        <f t="shared" si="20"/>
        <v>288</v>
      </c>
      <c r="M19" s="183">
        <f t="shared" si="20"/>
        <v>27</v>
      </c>
      <c r="N19" s="183">
        <f t="shared" si="20"/>
        <v>76</v>
      </c>
      <c r="O19" s="183">
        <f t="shared" si="20"/>
        <v>1</v>
      </c>
      <c r="P19" s="183">
        <f t="shared" si="20"/>
        <v>0</v>
      </c>
      <c r="Q19" s="183">
        <f t="shared" si="20"/>
        <v>1</v>
      </c>
      <c r="R19" s="183">
        <f t="shared" si="20"/>
        <v>12</v>
      </c>
      <c r="S19" s="183">
        <f t="shared" si="20"/>
        <v>159</v>
      </c>
      <c r="T19" s="183">
        <f t="shared" si="20"/>
        <v>188</v>
      </c>
      <c r="U19" s="183">
        <f t="shared" si="20"/>
        <v>194</v>
      </c>
      <c r="V19" s="183">
        <f t="shared" si="20"/>
        <v>161</v>
      </c>
      <c r="W19" s="183">
        <f t="shared" si="20"/>
        <v>29</v>
      </c>
      <c r="X19" s="183">
        <f t="shared" si="20"/>
        <v>101</v>
      </c>
      <c r="Y19" s="183">
        <f t="shared" si="20"/>
        <v>0</v>
      </c>
      <c r="Z19" s="183">
        <f t="shared" si="20"/>
        <v>0</v>
      </c>
      <c r="AA19" s="183">
        <f t="shared" si="20"/>
        <v>0</v>
      </c>
      <c r="AB19" s="183">
        <f t="shared" si="20"/>
        <v>0</v>
      </c>
      <c r="AC19" s="183">
        <f t="shared" si="20"/>
        <v>1</v>
      </c>
      <c r="AD19" s="183">
        <f t="shared" si="20"/>
        <v>0</v>
      </c>
      <c r="AE19" s="183">
        <f t="shared" si="20"/>
        <v>0</v>
      </c>
      <c r="AF19" s="183">
        <f t="shared" si="20"/>
        <v>1</v>
      </c>
      <c r="AG19" s="183">
        <f t="shared" si="20"/>
        <v>0</v>
      </c>
      <c r="AH19" s="183">
        <f t="shared" si="20"/>
        <v>0</v>
      </c>
      <c r="AI19" s="183">
        <f t="shared" si="20"/>
        <v>0</v>
      </c>
      <c r="AJ19" s="183">
        <f t="shared" si="20"/>
        <v>0</v>
      </c>
      <c r="AK19" s="183">
        <f t="shared" si="20"/>
        <v>0</v>
      </c>
      <c r="AL19" s="183">
        <f t="shared" si="20"/>
        <v>1</v>
      </c>
      <c r="AM19" s="183">
        <f t="shared" si="20"/>
        <v>0</v>
      </c>
      <c r="AN19" s="183">
        <f t="shared" si="20"/>
        <v>1</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159</v>
      </c>
      <c r="AZ19" s="183">
        <f>SUBTOTAL(9,AZ14:AZ18)</f>
        <v>188</v>
      </c>
      <c r="BA19" s="183">
        <f>SUBTOTAL(9,BA14:BA18)</f>
        <v>194</v>
      </c>
      <c r="BB19" s="183">
        <f>SUBTOTAL(9,BB14:BB18)</f>
        <v>161</v>
      </c>
      <c r="BC19" s="183">
        <f>SUBTOTAL(9,BC14:BC18)</f>
        <v>29</v>
      </c>
      <c r="BD19" s="204">
        <f>IF(ISNUMBER(BA19/AZ19),BA19/AZ19," - ")</f>
        <v>1.0319148936170213</v>
      </c>
      <c r="BE19" s="205">
        <f>IF(ISNUMBER(BB19/BA19),BB19/BA19, " - ")</f>
        <v>0.82989690721649489</v>
      </c>
      <c r="BF19" s="205">
        <f>IF(ISNUMBER(BC19/BA19),BC19/BA19, " - ")</f>
        <v>0.14948453608247422</v>
      </c>
      <c r="BG19" s="206">
        <f>IF(ISNUMBER((AY19+AZ19)/BA19),(AY19+AZ19)/BA19," - ")</f>
        <v>1.7886597938144331</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432</v>
      </c>
      <c r="J20" s="134">
        <f t="shared" si="23"/>
        <v>288</v>
      </c>
      <c r="K20" s="134">
        <f t="shared" si="23"/>
        <v>214</v>
      </c>
      <c r="L20" s="134">
        <f t="shared" si="23"/>
        <v>513</v>
      </c>
      <c r="M20" s="134">
        <f t="shared" si="23"/>
        <v>42</v>
      </c>
      <c r="N20" s="134">
        <f t="shared" si="23"/>
        <v>105</v>
      </c>
      <c r="O20" s="134">
        <f t="shared" si="23"/>
        <v>36</v>
      </c>
      <c r="P20" s="134">
        <f t="shared" si="23"/>
        <v>18</v>
      </c>
      <c r="Q20" s="134">
        <f t="shared" si="23"/>
        <v>54</v>
      </c>
      <c r="R20" s="134">
        <f t="shared" si="23"/>
        <v>368</v>
      </c>
      <c r="S20" s="134">
        <f t="shared" si="23"/>
        <v>425</v>
      </c>
      <c r="T20" s="134">
        <f t="shared" si="23"/>
        <v>272</v>
      </c>
      <c r="U20" s="134">
        <f t="shared" si="23"/>
        <v>352</v>
      </c>
      <c r="V20" s="134">
        <f t="shared" si="23"/>
        <v>353</v>
      </c>
      <c r="W20" s="134">
        <f t="shared" si="23"/>
        <v>66</v>
      </c>
      <c r="X20" s="134">
        <f t="shared" si="23"/>
        <v>191</v>
      </c>
      <c r="Y20" s="134">
        <f t="shared" si="23"/>
        <v>13</v>
      </c>
      <c r="Z20" s="134">
        <f t="shared" si="23"/>
        <v>10</v>
      </c>
      <c r="AA20" s="134">
        <f t="shared" si="23"/>
        <v>10</v>
      </c>
      <c r="AB20" s="134">
        <f t="shared" si="23"/>
        <v>13</v>
      </c>
      <c r="AC20" s="134">
        <f t="shared" si="23"/>
        <v>1</v>
      </c>
      <c r="AD20" s="134">
        <f t="shared" si="23"/>
        <v>0</v>
      </c>
      <c r="AE20" s="134">
        <f t="shared" si="23"/>
        <v>0</v>
      </c>
      <c r="AF20" s="134">
        <f t="shared" si="23"/>
        <v>1</v>
      </c>
      <c r="AG20" s="134">
        <f t="shared" si="23"/>
        <v>8</v>
      </c>
      <c r="AH20" s="134">
        <f t="shared" si="23"/>
        <v>15</v>
      </c>
      <c r="AI20" s="134">
        <f t="shared" si="23"/>
        <v>14</v>
      </c>
      <c r="AJ20" s="134">
        <f t="shared" si="23"/>
        <v>9</v>
      </c>
      <c r="AK20" s="134">
        <f t="shared" si="23"/>
        <v>0</v>
      </c>
      <c r="AL20" s="134">
        <f t="shared" si="23"/>
        <v>1</v>
      </c>
      <c r="AM20" s="134">
        <f t="shared" si="23"/>
        <v>0</v>
      </c>
      <c r="AN20" s="209">
        <f t="shared" si="23"/>
        <v>1</v>
      </c>
      <c r="AO20" s="210">
        <v>2</v>
      </c>
      <c r="AP20" s="210">
        <v>1</v>
      </c>
      <c r="AQ20" s="210">
        <v>1</v>
      </c>
      <c r="AR20" s="210">
        <v>1</v>
      </c>
      <c r="AS20" s="152">
        <f t="shared" si="23"/>
        <v>0</v>
      </c>
      <c r="AT20" s="152">
        <f t="shared" si="23"/>
        <v>0</v>
      </c>
      <c r="AU20" s="210"/>
      <c r="AV20" s="211"/>
      <c r="AW20" s="210"/>
      <c r="AX20" s="211"/>
      <c r="AY20" s="133">
        <f>SUBTOTAL(9,AY9:AY19)</f>
        <v>433</v>
      </c>
      <c r="AZ20" s="134">
        <f>SUBTOTAL(9,AZ9:AZ19)</f>
        <v>287</v>
      </c>
      <c r="BA20" s="134">
        <f>SUBTOTAL(9,BA9:BA19)</f>
        <v>366</v>
      </c>
      <c r="BB20" s="134">
        <f>SUBTOTAL(9,BB9:BB19)</f>
        <v>362</v>
      </c>
      <c r="BC20" s="135">
        <f>SUBTOTAL(9,BC9:BC19)</f>
        <v>120</v>
      </c>
      <c r="BD20" s="212">
        <f>IF(ISNUMBER(BA20/AZ20),BA20/AZ20," - ")</f>
        <v>1.2752613240418118</v>
      </c>
      <c r="BE20" s="209">
        <f>IF(ISNUMBER(BB20/BA20),BB20/BA20, " - ")</f>
        <v>0.98907103825136611</v>
      </c>
      <c r="BF20" s="209">
        <f>IF(ISNUMBER(BC20/BA20),BC20/BA20, " - ")</f>
        <v>0.32786885245901637</v>
      </c>
      <c r="BG20" s="135">
        <f>IF(ISNUMBER((AY20+AZ20)/BA20),(AY20+AZ20)/BA20," - ")</f>
        <v>1.9672131147540983</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616piwdAwfIO6eS3TFDQegEdDdtcz+Tq7gIQE+0+QtHL4E3UyIB8tldlaA78PCjjZ2zHE0hovNwyrLYr+spaw==" saltValue="C6L11jJCNgQsfzk2UiJp3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SORIA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U1E2vLJtR9fP29gc73aVhh29wejLiYEfVACiPK0DvU3Jt3JymXAXrEKD/YQK6v5P/MFRW26fru2yONfknOkwg==" saltValue="Obt8NE/u1VpGZsBbgCTze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SORIA  Resumenes por Partidos Judiciales  ALMAZAN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v>
      </c>
      <c r="O12" s="333"/>
      <c r="P12" s="333"/>
      <c r="Q12" s="225">
        <f>IF(ISNUMBER(Datos!P12),Datos!P12,0)</f>
        <v>17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13</v>
      </c>
      <c r="AI12" s="333" t="str">
        <f>IF(ISNUMBER(Datos!CD12),Datos!CD12,"-")</f>
        <v>-</v>
      </c>
      <c r="AJ12" s="333" t="str">
        <f>IF(ISNUMBER(Datos!EN12),Datos!EN12," - ")</f>
        <v xml:space="preserve"> - </v>
      </c>
      <c r="AK12" s="333"/>
      <c r="AL12" s="478"/>
      <c r="AM12" s="334">
        <f>IF(ISNUMBER(Datos!R12),Datos!R12," - ")</f>
        <v>354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15</v>
      </c>
      <c r="BD12" s="228">
        <f>IF(ISNUMBER(Datos!N12),Datos!N12," - ")</f>
        <v>29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0.58252427184466016</v>
      </c>
      <c r="BH12" s="259">
        <f>IF(ISNUMBER(((IF(J_V="SI",Datos!L12/Datos!K12,(Datos!L12+Datos!AB12)/(Datos!K12+Datos!AA12)))*11)/factor_trimestre),((IF(J_V="SI",Datos!L12/Datos!K12,(Datos!L12+Datos!AB12)/(Datos!K12+Datos!AA12)))*11)/factor_trimestre," - ")</f>
        <v>11.850000000000001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-9.2307692307692313E-2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10</v>
      </c>
      <c r="O13" s="897">
        <f t="shared" si="0"/>
        <v>0</v>
      </c>
      <c r="P13" s="897">
        <f t="shared" si="0"/>
        <v>0</v>
      </c>
      <c r="Q13" s="896">
        <f t="shared" si="0"/>
        <v>18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53</v>
      </c>
      <c r="AD13" s="896">
        <f t="shared" si="1"/>
        <v>0</v>
      </c>
      <c r="AE13" s="896">
        <f t="shared" si="1"/>
        <v>0</v>
      </c>
      <c r="AF13" s="896">
        <f t="shared" si="1"/>
        <v>1</v>
      </c>
      <c r="AG13" s="896">
        <f t="shared" si="1"/>
        <v>0</v>
      </c>
      <c r="AH13" s="896">
        <f t="shared" si="1"/>
        <v>13</v>
      </c>
      <c r="AI13" s="896">
        <f t="shared" si="1"/>
        <v>0</v>
      </c>
      <c r="AJ13" s="896">
        <f t="shared" si="1"/>
        <v>0</v>
      </c>
      <c r="AK13" s="896">
        <f t="shared" si="1"/>
        <v>0</v>
      </c>
      <c r="AL13" s="896">
        <f t="shared" si="1"/>
        <v>0</v>
      </c>
      <c r="AM13" s="896">
        <f t="shared" si="1"/>
        <v>356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15</v>
      </c>
      <c r="BD13" s="896">
        <f t="shared" si="1"/>
        <v>29</v>
      </c>
      <c r="BE13" s="896">
        <f t="shared" si="1"/>
        <v>0</v>
      </c>
      <c r="BF13" s="896">
        <f t="shared" si="1"/>
        <v>0</v>
      </c>
      <c r="BG13" s="896">
        <f>IF(ISNUMBER(Datos!K13/Datos!J13),Datos!K13/Datos!J13," - ")</f>
        <v>0.53191489361702127</v>
      </c>
      <c r="BH13" s="900">
        <f>IF(ISNUMBER(((Datos!L13/Datos!K13)*11)/factor_trimestre),((Datos!L13/Datos!K13)*11)/factor_trimestre," - ")</f>
        <v>13.5</v>
      </c>
      <c r="BI13" s="896">
        <f>IF(ISNUMBER('Resol  Asuntos'!D13/NºAsuntos!G13),'Resol  Asuntos'!D13/NºAsuntos!G13," - ")</f>
        <v>0.25</v>
      </c>
      <c r="BJ13" s="896" t="str">
        <f>IF(ISNUMBER(Datos!CI13/Datos!CJ13),Datos!CI13/Datos!CJ13," - ")</f>
        <v xml:space="preserve"> - </v>
      </c>
      <c r="BK13" s="896">
        <f>SUBTOTAL(9,BK8:BK12)</f>
        <v>0</v>
      </c>
      <c r="BL13" s="896" t="str">
        <f>IF(ISNUMBER((I13-AB13+L13)/(F13)),(I13-AB13+L13)/(F13)," - ")</f>
        <v xml:space="preserve"> - </v>
      </c>
      <c r="BM13" s="901">
        <f>SUBTOTAL(9,BM9:BM12)</f>
        <v>0.90769230769230769</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244</v>
      </c>
      <c r="G17" s="596">
        <f>IF(ISNUMBER(IF(D_I="SI",Datos!I17,Datos!I17+Datos!AC17)),IF(D_I="SI",Datos!I17,Datos!I17+Datos!AC17)," - ")</f>
        <v>236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151</v>
      </c>
      <c r="AC17" s="225">
        <f>IF(ISNUMBER(Datos!Q17),Datos!Q17," - ")</f>
        <v>1</v>
      </c>
      <c r="AD17" s="333"/>
      <c r="AE17" s="483"/>
      <c r="AF17" s="1192">
        <f>IF(ISNUMBER(IF(D_I="SI",Datos!L17,Datos!L17+Datos!AF17)),IF(D_I="SI",Datos!L17,Datos!L17+Datos!AF17)," - ")</f>
        <v>269</v>
      </c>
      <c r="AG17" s="333"/>
      <c r="AH17" s="333"/>
      <c r="AI17" s="333"/>
      <c r="AJ17" s="333"/>
      <c r="AK17" s="333"/>
      <c r="AL17" s="478"/>
      <c r="AM17" s="334">
        <f>IF(ISNUMBER(Datos!R17),Datos!R17," - ")</f>
        <v>12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26</v>
      </c>
      <c r="BD17" s="228">
        <f>IF(ISNUMBER(Datos!N17),Datos!N17," - ")</f>
        <v>69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0.85795454545454541</v>
      </c>
      <c r="BH17" s="259">
        <f>IF(ISNUMBER(((IF(D_I="SI",Datos!L17/Datos!K17,(Datos!L17+Datos!AF17)/(Datos!K17+Datos!AE17)))*11)/factor_trimestre),((IF(D_I="SI",Datos!L17/Datos!K17,(Datos!L17+Datos!AF17)/(Datos!K17+Datos!AE17)))*11)/factor_trimestre," - ")</f>
        <v>5.3443708609271532</v>
      </c>
      <c r="BI17" s="242">
        <f>IF(ISNUMBER('Resol  Asuntos'!D17/NºAsuntos!G17),'Resol  Asuntos'!D17/NºAsuntos!G17," - ")</f>
        <v>0.17218543046357615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13</v>
      </c>
      <c r="AC18" s="225">
        <f>IF(ISNUMBER(Datos!Q18),Datos!Q18," - ")</f>
        <v>0</v>
      </c>
      <c r="AD18" s="333"/>
      <c r="AE18" s="483"/>
      <c r="AF18" s="331">
        <f>IF(ISNUMBER(Datos!L18),Datos!L18,"-")</f>
        <v>19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0.72222222222222221</v>
      </c>
      <c r="BH18" s="259">
        <f>IF(ISNUMBER(((IF(D_I="SI",Datos!L18/Datos!K18,(Datos!L18+Datos!AF18)/(Datos!K18+Datos!AE18)))*11)/factor_trimestre),((IF(D_I="SI",Datos!L18/Datos!K18,(Datos!L18+Datos!AF18)/(Datos!K18+Datos!AE18)))*11)/factor_trimestre," - ")</f>
        <v>4.384615384615385</v>
      </c>
      <c r="BI18" s="242">
        <f>IF(ISNUMBER('Resol  Asuntos'!D18/NºAsuntos!G18),'Resol  Asuntos'!D18/NºAsuntos!G18," - ")</f>
        <v>7.6923076923076927E-2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244</v>
      </c>
      <c r="G19" s="895">
        <f>SUBTOTAL(9,G15:G18)</f>
        <v>251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164</v>
      </c>
      <c r="AC19" s="896">
        <f t="shared" si="4"/>
        <v>1</v>
      </c>
      <c r="AD19" s="896">
        <f t="shared" si="4"/>
        <v>0</v>
      </c>
      <c r="AE19" s="896">
        <f t="shared" si="4"/>
        <v>0</v>
      </c>
      <c r="AF19" s="896">
        <f t="shared" si="4"/>
        <v>288</v>
      </c>
      <c r="AG19" s="896">
        <f t="shared" si="4"/>
        <v>0</v>
      </c>
      <c r="AH19" s="896">
        <f t="shared" si="4"/>
        <v>0</v>
      </c>
      <c r="AI19" s="896">
        <f t="shared" si="4"/>
        <v>0</v>
      </c>
      <c r="AJ19" s="896">
        <f t="shared" si="4"/>
        <v>0</v>
      </c>
      <c r="AK19" s="896">
        <f t="shared" si="4"/>
        <v>0</v>
      </c>
      <c r="AL19" s="896">
        <f t="shared" si="4"/>
        <v>0</v>
      </c>
      <c r="AM19" s="896">
        <f t="shared" si="4"/>
        <v>12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27</v>
      </c>
      <c r="BD19" s="896">
        <f t="shared" si="4"/>
        <v>76</v>
      </c>
      <c r="BE19" s="896">
        <f t="shared" si="4"/>
        <v>0</v>
      </c>
      <c r="BF19" s="896">
        <f t="shared" si="4"/>
        <v>0</v>
      </c>
      <c r="BG19" s="896">
        <f>IF(ISNUMBER(Datos!K19/Datos!J19),Datos!K19/Datos!J19," - ")</f>
        <v>0.84536082474226804</v>
      </c>
      <c r="BH19" s="900">
        <f>IF(ISNUMBER(((Datos!L19/Datos!K19)*11)/factor_trimestre),((Datos!L19/Datos!K19)*11)/factor_trimestre," - ")</f>
        <v>5.2682926829268295</v>
      </c>
      <c r="BI19" s="896">
        <f>SUBTOTAL(9,BI15:BI18)</f>
        <v>0.24910850738665308</v>
      </c>
      <c r="BJ19" s="896">
        <f>SUBTOTAL(9,BJ15:BJ18)</f>
        <v>0</v>
      </c>
      <c r="BK19" s="896">
        <f>SUBTOTAL(9,BK15:BK18)</f>
        <v>0</v>
      </c>
      <c r="BL19" s="896">
        <f>IF(ISNUMBER((I19-AB19+L19)/(F19)),(I19-AB19+L19)/(F19)," - ")</f>
        <v>-0.67213114754098358</v>
      </c>
      <c r="BM19" s="902">
        <f>IF(ISNUMBER((Datos!P19-Datos!Q19)/(Datos!R19-Datos!P19+Datos!Q19)),(Datos!P19-Datos!Q19)/(Datos!R19-Datos!P19+Datos!Q19)," - ")</f>
        <v>-7.6923076923076927E-2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244</v>
      </c>
      <c r="G20" s="817">
        <f t="shared" si="6"/>
        <v>251</v>
      </c>
      <c r="H20" s="819">
        <f t="shared" si="6"/>
        <v>0</v>
      </c>
      <c r="I20" s="817">
        <f t="shared" si="6"/>
        <v>0</v>
      </c>
      <c r="J20" s="819">
        <f t="shared" si="6"/>
        <v>0</v>
      </c>
      <c r="K20" s="819">
        <f t="shared" si="6"/>
        <v>0</v>
      </c>
      <c r="L20" s="878">
        <f t="shared" si="6"/>
        <v>0</v>
      </c>
      <c r="M20" s="878">
        <f t="shared" si="6"/>
        <v>0</v>
      </c>
      <c r="N20" s="878">
        <f t="shared" si="6"/>
        <v>10</v>
      </c>
      <c r="O20" s="878">
        <f t="shared" si="6"/>
        <v>0</v>
      </c>
      <c r="P20" s="878">
        <f t="shared" si="6"/>
        <v>0</v>
      </c>
      <c r="Q20" s="819">
        <f t="shared" si="6"/>
        <v>18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164</v>
      </c>
      <c r="AC20" s="818">
        <f t="shared" si="7"/>
        <v>54</v>
      </c>
      <c r="AD20" s="818">
        <f t="shared" si="7"/>
        <v>0</v>
      </c>
      <c r="AE20" s="818">
        <f t="shared" si="7"/>
        <v>0</v>
      </c>
      <c r="AF20" s="825">
        <f t="shared" si="7"/>
        <v>289</v>
      </c>
      <c r="AG20" s="825">
        <f t="shared" si="7"/>
        <v>0</v>
      </c>
      <c r="AH20" s="825">
        <f t="shared" si="7"/>
        <v>13</v>
      </c>
      <c r="AI20" s="825">
        <f t="shared" si="7"/>
        <v>0</v>
      </c>
      <c r="AJ20" s="818">
        <f t="shared" si="7"/>
        <v>0</v>
      </c>
      <c r="AK20" s="825">
        <f t="shared" si="7"/>
        <v>0</v>
      </c>
      <c r="AL20" s="825">
        <f t="shared" si="7"/>
        <v>0</v>
      </c>
      <c r="AM20" s="825">
        <f t="shared" si="7"/>
        <v>368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42</v>
      </c>
      <c r="BD20" s="817">
        <f t="shared" si="7"/>
        <v>105</v>
      </c>
      <c r="BE20" s="817">
        <f t="shared" si="7"/>
        <v>0</v>
      </c>
      <c r="BF20" s="827">
        <f t="shared" si="7"/>
        <v>0</v>
      </c>
      <c r="BG20" s="912">
        <f>IF(ISNUMBER(Datos!K20/Datos!J20),Datos!K20/Datos!J20," - ")</f>
        <v>0.74305555555555558</v>
      </c>
      <c r="BH20" s="912">
        <f>IF(ISNUMBER(((Datos!L20/Datos!K20)*11)/factor_trimestre),((Datos!L20/Datos!K20)*11)/factor_trimestre," - ")</f>
        <v>7.1915887850467293</v>
      </c>
      <c r="BI20" s="810">
        <f>IF(ISNUMBER(Datos!J20/Datos!I20),Datos!J20/Datos!I20," - ")</f>
        <v>0.66666666666666663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-0.67213114754098358</v>
      </c>
      <c r="BM20" s="886">
        <f>IF(ISNUMBER((Datos!P20-Datos!Q20+R20)/(Datos!R20-Datos!P20+Datos!Q20-R20)),(Datos!P20-Datos!Q20+R20)/(Datos!R20-Datos!P20+Datos!Q20-R20)," - ")</f>
        <v>-8.9108910891089105E-2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100.4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140.87346568226869</v>
      </c>
      <c r="G22" s="551">
        <f>IF(ISNUMBER(STDEV(G8:G19)),STDEV(G8:G19),"-")</f>
        <v>130.88277197553541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84.186103366291988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11.661903789690601</v>
      </c>
      <c r="BD22" s="550"/>
      <c r="BE22" s="550">
        <f>IF(ISNUMBER(STDEV(BE8:BE19)),STDEV(BE8:BE19),"-")</f>
        <v>0</v>
      </c>
      <c r="BF22" s="555">
        <f>IF(ISNUMBER(STDEV(BF8:BF19)),STDEV(BF8:BF19),"-")</f>
        <v>0</v>
      </c>
      <c r="BG22" s="772">
        <f>IF(ISNUMBER(STDEV(BG8:BG19)),STDEV(BG8:BG19),"-")</f>
        <v>0.31812616091642887</v>
      </c>
      <c r="BH22" s="773">
        <f>IF(ISNUMBER(STDEV(BH8:BH19)),STDEV(BH8:BH19),"-")</f>
        <v>4.2612784577158287</v>
      </c>
      <c r="BI22" s="248">
        <f>IF(ISNUMBER(STDEV(BI8:BI19)),STDEV(BI8:BI19),"-")</f>
        <v>8.1981411268200272E-2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9TZHeK6vlxF6JV5ug4b+GsKOKi5ynE7DoK6/AMwg4nKi2nmumKhFAUXUxi5cMFTZ90/whYeIBJe1uvxzClfBzA==" saltValue="6J2gYa/O27jdUCsPUGa5R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SORIA  Resumenes por Partidos Judiciales  ALMAZAN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53</v>
      </c>
      <c r="AA12" s="331" t="str">
        <f>IF(ISNUMBER(IF(J_V="SI",Datos!L12,Datos!L12+Datos!AB12)-IF(Monitorios="SI",Datos!CD12,0)),
                          IF(J_V="SI",Datos!L12,Datos!L12+Datos!AB12)-IF(Monitorios="SI",Datos!CD12,0),
                          " - ")</f>
        <v xml:space="preserve"> - </v>
      </c>
      <c r="AB12" s="333"/>
      <c r="AC12" s="333"/>
      <c r="AD12" s="483"/>
      <c r="AE12" s="483">
        <f>IF(ISNUMBER(Datos!R12),Datos!R12," - ")</f>
        <v>354</v>
      </c>
      <c r="AF12" s="228" t="str">
        <f>IF(ISNUMBER(Datos!BV12),Datos!BV12," - ")</f>
        <v xml:space="preserve"> - </v>
      </c>
      <c r="AG12" s="224" t="str">
        <f>IF(ISNUMBER(Datos!DV12),Datos!DV12," - ")</f>
        <v xml:space="preserve"> - </v>
      </c>
      <c r="AH12" s="297"/>
      <c r="AI12" s="226"/>
      <c r="AJ12" s="224">
        <f>IF(ISNUMBER(Datos!M12),Datos!M12," - ")</f>
        <v>15</v>
      </c>
      <c r="AK12" s="228">
        <f>IF(ISNUMBER(Datos!N12),Datos!N12," - ")</f>
        <v>29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11.850000000000001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-9.2307692307692313E-2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18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53</v>
      </c>
      <c r="AA13" s="897">
        <f t="shared" si="2"/>
        <v>1</v>
      </c>
      <c r="AB13" s="897">
        <f t="shared" si="2"/>
        <v>0</v>
      </c>
      <c r="AC13" s="897">
        <f t="shared" si="2"/>
        <v>0</v>
      </c>
      <c r="AD13" s="897">
        <f t="shared" si="2"/>
        <v>0</v>
      </c>
      <c r="AE13" s="897">
        <f t="shared" si="2"/>
        <v>356</v>
      </c>
      <c r="AF13" s="905">
        <f t="shared" si="2"/>
        <v>0</v>
      </c>
      <c r="AG13" s="905">
        <f t="shared" si="2"/>
        <v>0</v>
      </c>
      <c r="AH13" s="905">
        <f t="shared" si="2"/>
        <v>0</v>
      </c>
      <c r="AI13" s="905">
        <f t="shared" si="2"/>
        <v>0</v>
      </c>
      <c r="AJ13" s="905">
        <f t="shared" si="2"/>
        <v>15</v>
      </c>
      <c r="AK13" s="905">
        <f t="shared" si="2"/>
        <v>29</v>
      </c>
      <c r="AL13" s="905">
        <f t="shared" si="2"/>
        <v>0</v>
      </c>
      <c r="AM13" s="905">
        <f t="shared" si="2"/>
        <v>0</v>
      </c>
      <c r="AN13" s="905">
        <f t="shared" si="2"/>
        <v>0</v>
      </c>
      <c r="AO13" s="901">
        <f>IF(ISNUMBER(((NºAsuntos!I13/NºAsuntos!G13)*11)/factor_trimestre),((NºAsuntos!I13/NºAsuntos!G13)*11)/factor_trimestre," - ")</f>
        <v>11.9</v>
      </c>
      <c r="AP13" s="907" t="str">
        <f>IF(ISNUMBER(Datos!CI13/Datos!CJ13),Datos!CI13/Datos!CJ13," - ")</f>
        <v xml:space="preserve"> - </v>
      </c>
      <c r="AQ13" s="923">
        <f t="shared" ref="AQ13:AV13" si="3">SUBTOTAL(9,AQ9:AQ12)</f>
        <v>0</v>
      </c>
      <c r="AR13" s="923">
        <f t="shared" si="3"/>
        <v>0.90769230769230769</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244</v>
      </c>
      <c r="G17" s="224">
        <f>IF(ISNUMBER(IF(D_I="SI",Datos!I17,Datos!I17+Datos!AC17)),IF(D_I="SI",Datos!I17,Datos!I17+Datos!AC17)," - ")</f>
        <v>236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151</v>
      </c>
      <c r="Z17" s="617">
        <f>IF(ISNUMBER(Datos!Q17),Datos!Q17," - ")</f>
        <v>1</v>
      </c>
      <c r="AA17" s="331">
        <f>IF(ISNUMBER(IF(D_I="SI",Datos!L17,Datos!L17+Datos!AF17)),IF(D_I="SI",Datos!L17,Datos!L17+Datos!AF17)," - ")</f>
        <v>269</v>
      </c>
      <c r="AB17" s="333"/>
      <c r="AC17" s="333"/>
      <c r="AD17" s="483"/>
      <c r="AE17" s="483">
        <f>IF(ISNUMBER(Datos!R17),Datos!R17," - ")</f>
        <v>12</v>
      </c>
      <c r="AF17" s="228" t="str">
        <f>IF(ISNUMBER(Datos!BV17),Datos!BV17," - ")</f>
        <v xml:space="preserve"> - </v>
      </c>
      <c r="AG17" s="224"/>
      <c r="AH17" s="297"/>
      <c r="AI17" s="226"/>
      <c r="AJ17" s="224">
        <f>IF(ISNUMBER(Datos!M17),Datos!M17," - ")</f>
        <v>26</v>
      </c>
      <c r="AK17" s="228">
        <f>IF(ISNUMBER(Datos!N17),Datos!N17," - ")</f>
        <v>69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5.3443708609271532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13</v>
      </c>
      <c r="Z18" s="617">
        <f>IF(ISNUMBER(Datos!Q18),Datos!Q18," - ")</f>
        <v>0</v>
      </c>
      <c r="AA18" s="331">
        <f>IF(ISNUMBER(Datos!L18),Datos!L18,"-")</f>
        <v>19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4.384615384615385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244</v>
      </c>
      <c r="G19" s="895">
        <f>SUBTOTAL(9,G15:G18)</f>
        <v>251</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164</v>
      </c>
      <c r="Z19" s="927">
        <f t="shared" si="5"/>
        <v>1</v>
      </c>
      <c r="AA19" s="927">
        <f t="shared" si="5"/>
        <v>288</v>
      </c>
      <c r="AB19" s="927">
        <f t="shared" si="5"/>
        <v>0</v>
      </c>
      <c r="AC19" s="927">
        <f t="shared" si="5"/>
        <v>0</v>
      </c>
      <c r="AD19" s="927">
        <f t="shared" si="5"/>
        <v>0</v>
      </c>
      <c r="AE19" s="927">
        <f t="shared" si="5"/>
        <v>12</v>
      </c>
      <c r="AF19" s="927">
        <f t="shared" si="5"/>
        <v>0</v>
      </c>
      <c r="AG19" s="927">
        <f t="shared" si="5"/>
        <v>0</v>
      </c>
      <c r="AH19" s="927">
        <f t="shared" si="5"/>
        <v>0</v>
      </c>
      <c r="AI19" s="927">
        <f t="shared" si="5"/>
        <v>0</v>
      </c>
      <c r="AJ19" s="927">
        <f t="shared" si="5"/>
        <v>27</v>
      </c>
      <c r="AK19" s="927">
        <f t="shared" si="5"/>
        <v>76</v>
      </c>
      <c r="AL19" s="927">
        <f t="shared" si="5"/>
        <v>0</v>
      </c>
      <c r="AM19" s="927">
        <f t="shared" si="5"/>
        <v>0</v>
      </c>
      <c r="AN19" s="927">
        <f t="shared" si="5"/>
        <v>0</v>
      </c>
      <c r="AO19" s="929">
        <f>IF(ISNUMBER(((NºAsuntos!I19/NºAsuntos!G19)*11)/factor_trimestre),((NºAsuntos!I19/NºAsuntos!G19)*11)/factor_trimestre," - ")</f>
        <v>5.2682926829268295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244</v>
      </c>
      <c r="G20" s="817">
        <f t="shared" si="7"/>
        <v>251</v>
      </c>
      <c r="H20" s="818">
        <f t="shared" si="7"/>
        <v>0</v>
      </c>
      <c r="I20" s="817">
        <f t="shared" si="7"/>
        <v>0</v>
      </c>
      <c r="J20" s="819">
        <f t="shared" si="7"/>
        <v>0</v>
      </c>
      <c r="K20" s="817">
        <f t="shared" si="7"/>
        <v>0</v>
      </c>
      <c r="L20" s="820">
        <f t="shared" si="7"/>
        <v>0</v>
      </c>
      <c r="M20" s="817">
        <f t="shared" si="7"/>
        <v>0</v>
      </c>
      <c r="N20" s="818">
        <f t="shared" si="7"/>
        <v>18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164</v>
      </c>
      <c r="Z20" s="824">
        <f t="shared" si="8"/>
        <v>54</v>
      </c>
      <c r="AA20" s="825">
        <f t="shared" si="8"/>
        <v>289</v>
      </c>
      <c r="AB20" s="825">
        <f t="shared" si="8"/>
        <v>0</v>
      </c>
      <c r="AC20" s="825">
        <f t="shared" si="8"/>
        <v>0</v>
      </c>
      <c r="AD20" s="826">
        <f t="shared" si="8"/>
        <v>0</v>
      </c>
      <c r="AE20" s="826">
        <f t="shared" si="8"/>
        <v>368</v>
      </c>
      <c r="AF20" s="827">
        <f t="shared" si="8"/>
        <v>0</v>
      </c>
      <c r="AG20" s="828">
        <f t="shared" si="8"/>
        <v>0</v>
      </c>
      <c r="AH20" s="829">
        <f t="shared" si="8"/>
        <v>0</v>
      </c>
      <c r="AI20" s="827">
        <f t="shared" si="8"/>
        <v>0</v>
      </c>
      <c r="AJ20" s="817">
        <f t="shared" si="8"/>
        <v>42</v>
      </c>
      <c r="AK20" s="817">
        <f t="shared" si="8"/>
        <v>105</v>
      </c>
      <c r="AL20" s="817">
        <f t="shared" si="8"/>
        <v>0</v>
      </c>
      <c r="AM20" s="830">
        <f t="shared" si="8"/>
        <v>0</v>
      </c>
      <c r="AN20" s="820">
        <f>IF(ISNUMBER(Datos!K20/Datos!J20),Datos!K20/Datos!J20," - ")</f>
        <v>0.74305555555555558</v>
      </c>
      <c r="AO20" s="820">
        <f>IF(ISNUMBER(FIND("06",Criterios!A8,1)),(IF(ISNUMBER(((Datos!R20/Datos!Q20)*11)/factor_trimestre),((Datos!R20/Datos!Q20)*11)/factor_trimestre," - ")),(IF(ISNUMBER(((Datos!L20/Datos!K20)*11)/factor_trimestre),((Datos!L20/Datos!K20)*11)/factor_trimestre," - ")))</f>
        <v>7.1915887850467293</v>
      </c>
      <c r="AP20" s="831" t="str">
        <f>IF(ISNUMBER(Datos!CI20/Datos!CJ20),Datos!CI20/Datos!CJ20," - ")</f>
        <v xml:space="preserve"> - </v>
      </c>
      <c r="AQ20" s="831">
        <f>IF(OR(ISNUMBER(FIND("01",Criterios!A8,1)),ISNUMBER(FIND("02",Criterios!A8,1)),ISNUMBER(FIND("03",Criterios!A8,1)),ISNUMBER(FIND("04",Criterios!A8,1))),(J20-Y20+K20)/(F20-K20),(I20-Y20+K20)/(F20-K20))</f>
        <v>-0.67213114754098358</v>
      </c>
      <c r="AR20" s="831">
        <f>IF(ISNUMBER((Datos!P20-Datos!Q20+O20)/(Datos!R20-Datos!P20+Datos!Q20-O20)),(Datos!P20-Datos!Q20+O20)/(Datos!R20-Datos!P20+Datos!Q20-O20)," - ")</f>
        <v>-8.9108910891089105E-2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100.4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140.87346568226869</v>
      </c>
      <c r="G22" s="551">
        <f>IF(ISNUMBER(STDEV(G8:G19)),STDEV(G8:G19),"-")</f>
        <v>130.88277197553541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11.661903789690601</v>
      </c>
      <c r="AK22" s="251"/>
      <c r="AL22" s="251">
        <f>IF(ISNUMBER(STDEV(AL8:AL19)),STDEV(AL8:AL19),"-")</f>
        <v>0</v>
      </c>
      <c r="AM22" s="253">
        <f>IF(ISNUMBER(STDEV(AM8:AM19)),STDEV(AM8:AM19),"-")</f>
        <v>0</v>
      </c>
      <c r="AN22" s="538">
        <f>IF(ISNUMBER(STDEV(AN8:AN19)),STDEV(AN8:AN19),"-")</f>
        <v>0</v>
      </c>
      <c r="AO22" s="539">
        <f>IF(ISNUMBER(STDEV(AO8:AO19)),STDEV(AO8:AO19),"-")</f>
        <v>3.7849780346453912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8GtUJvRMvVp38aWT4sm5r6ikle/rzKMITTtfYYpAizqvJwc6m0e+jgblhRdEfHTgfMD6j/39K/hpcSCOQ6UNTg==" saltValue="rqNlaBqounGKVQDBHmJqc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uy1SPbZ0aRzdlFfFL6JF+8ondwtun0V8mvUL/01uvfUStxIMQEBXTiTh7ufwov8K3WofOB8rbY/dVnqYi0VrGA==" saltValue="Z8pWoS610+1pWaLNXk14k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SORIA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EcdTzY6yh58KV19F7dRXQqlp2OK9QX7zlppVysoefAD3YEVqtBN4VMizqAIpPChTNs5NR4C0yiUFogV9E4n0A==" saltValue="QEGgQQapxjUGeNMxpBSzC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SORIA  Resumenes por Partidos Judiciales  ALMAZAN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0.17677669529663689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XyNZelHcnzwYAmSaZp2r9odlIUG/blqWOQhgZaLSpg4+kvVKn0Rjp50NBeZTWTHQKGEQdlSSIr6xxPoQ2J3RRA==" saltValue="cVJoeHCADSY3XdzzmQayq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eLFri/qjuJPBL3BDJN6Qs9bNlRdnOLfdRG3leVBUOm5kGVIY9oG9GStVdzA+UhpKVQeDaAqBSJq53KEwzSEOqg==" saltValue="em2y6FVxJGx2Nm6VGxwrV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SORIA  Resumenes por Partidos Judiciales  ALMAZAN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354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15</v>
      </c>
      <c r="AM12" s="687">
        <f>IF(ISNUMBER(Datos!N12+DatosP!N17),Datos!N12+DatosP!N17," - ")</f>
        <v>29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11.850000000000001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-9.2307692307692313E-2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18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53</v>
      </c>
      <c r="AE13" s="934">
        <f t="shared" si="1"/>
        <v>0</v>
      </c>
      <c r="AF13" s="934">
        <f t="shared" si="1"/>
        <v>1</v>
      </c>
      <c r="AG13" s="934">
        <f t="shared" si="1"/>
        <v>0</v>
      </c>
      <c r="AH13" s="934">
        <f t="shared" si="1"/>
        <v>354</v>
      </c>
      <c r="AI13" s="934">
        <f t="shared" si="1"/>
        <v>0</v>
      </c>
      <c r="AJ13" s="934">
        <f t="shared" si="1"/>
        <v>0</v>
      </c>
      <c r="AK13" s="934">
        <f t="shared" si="1"/>
        <v>0</v>
      </c>
      <c r="AL13" s="934">
        <f t="shared" si="1"/>
        <v>15</v>
      </c>
      <c r="AM13" s="934">
        <f t="shared" si="1"/>
        <v>29</v>
      </c>
      <c r="AN13" s="934">
        <f t="shared" si="1"/>
        <v>0</v>
      </c>
      <c r="AO13" s="934">
        <f t="shared" si="1"/>
        <v>0</v>
      </c>
      <c r="AP13" s="939">
        <f>IF(ISNUMBER(((Datos!L13/Datos!K13)*11)/factor_trimestre),((Datos!L13/Datos!K13)*11)/factor_trimestre," - ")</f>
        <v>13.5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-9.2307692307692313E-2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5.2682926829268295</v>
      </c>
      <c r="AQ19" s="939">
        <f>IF(ISNUMBER(((Datos!M19/Datos!L19)*11)/factor_trimestre),((Datos!M19/Datos!L19)*11)/factor_trimestre," - ")</f>
        <v>0.28125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-7.6923076923076927E-2</v>
      </c>
      <c r="AW19" s="941">
        <f>IF(ISNUMBER((Datos!Q19-Datos!R19)/(Datos!S19-Datos!Q19+Datos!R19)),(Datos!Q19-Datos!R19)/(Datos!S19-Datos!Q19+Datos!R19)," - ")</f>
        <v>-6.4705882352941183E-2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18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53</v>
      </c>
      <c r="AE20" s="952">
        <f t="shared" si="5"/>
        <v>0</v>
      </c>
      <c r="AF20" s="953">
        <f t="shared" si="5"/>
        <v>1</v>
      </c>
      <c r="AG20" s="953">
        <f t="shared" si="5"/>
        <v>0</v>
      </c>
      <c r="AH20" s="953">
        <f t="shared" si="5"/>
        <v>354</v>
      </c>
      <c r="AI20" s="953">
        <f t="shared" si="5"/>
        <v>0</v>
      </c>
      <c r="AJ20" s="954">
        <f t="shared" si="5"/>
        <v>0</v>
      </c>
      <c r="AK20" s="954">
        <f t="shared" si="5"/>
        <v>0</v>
      </c>
      <c r="AL20" s="946">
        <f t="shared" si="5"/>
        <v>15</v>
      </c>
      <c r="AM20" s="946">
        <f t="shared" si="5"/>
        <v>29</v>
      </c>
      <c r="AN20" s="946">
        <f t="shared" si="5"/>
        <v>0</v>
      </c>
      <c r="AO20" s="946">
        <f t="shared" si="5"/>
        <v>0</v>
      </c>
      <c r="AP20" s="946">
        <f>IF(ISNUMBER(((Datos!L20/Datos!K20)*11)/factor_trimestre),((Datos!L20/Datos!K20)*11)/factor_trimestre," - ")</f>
        <v>7.1915887850467293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-8.9108910891089105E-2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8.6602540378443873</v>
      </c>
      <c r="AM22" s="733"/>
      <c r="AN22" s="733">
        <f>IF(ISNUMBER(STDEV(AN8:AN19)),STDEV(AN8:AN19),"-")</f>
        <v>0</v>
      </c>
      <c r="AO22" s="739">
        <f>IF(ISNUMBER(STDEV(AO8:AO19)),STDEV(AO8:AO19),"-")</f>
        <v>0</v>
      </c>
      <c r="AP22" s="776">
        <f>IF(ISNUMBER(STDEV(AP8:AP19)),STDEV(AP8:AP19),"-")</f>
        <v>4.3551191442096862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p9Dws5LMVAOxWTwRcdA5qBR3hJEtbcFf56kDQrxjfz5FmKRmTwCkbmmAr8SA1PjXx4DYg+DJgr4t2duPbHzwjw==" saltValue="N+i4dkMTll3jIWhdQnEIW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SORIA  Resumenes por Partidos Judiciales  ALMAZAN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57.618610336629196</v>
      </c>
      <c r="CF9" s="228">
        <f ca="1">AVERAGEIFS($AB:$AB,$BW:$BW,BW9,$BX:$BX,BX9)</f>
        <v>57.618610336629196</v>
      </c>
      <c r="CG9" s="1191">
        <v>0.7</v>
      </c>
      <c r="CH9" s="1191">
        <f ca="1">AVERAGEIF($BW:$BW,$BW9,$AC:$AC)</f>
        <v>16.2</v>
      </c>
      <c r="CI9" s="228">
        <f ca="1">AVERAGEIFS($AC:$AC,$BW:$BW,$BW9,$BX:$BX,$BX9)</f>
        <v>16.2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96.333333333333329</v>
      </c>
      <c r="CR9" s="228">
        <f ca="1">AVERAGEIFS($AF:$AF,$BW:$BW,BW9,$BX:$BX,BX9)</f>
        <v>96.333333333333329</v>
      </c>
      <c r="CS9" s="1191">
        <v>1.3</v>
      </c>
      <c r="CT9" s="1191">
        <v>1.5</v>
      </c>
      <c r="CU9" s="1191">
        <f ca="1">AVERAGEIF($BW:$BW,$BW9,$AH:$AH)</f>
        <v>5.5714285714285712</v>
      </c>
      <c r="CV9" s="228">
        <f ca="1">AVERAGEIFS($AH:$AH,$BW:$BW,$BW9,$BX:$BX,$BX9)</f>
        <v>5.5714285714285712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110.4</v>
      </c>
      <c r="DH9" s="228">
        <f ca="1">AVERAGEIFS($AM:$AM,$BW:$BW,$BW9,$BX:$BX,$BX9)</f>
        <v>110.4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5.1800146171231933</v>
      </c>
      <c r="ER9" s="228">
        <f ca="1">AVERAGEIFS($BH:$BH,$BW:$BW,$BW9,$BX:$BX,$BX9)</f>
        <v>5.1800146171231933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57.618610336629196</v>
      </c>
      <c r="CF10" s="228">
        <f ca="1">AVERAGEIFS($AB:$AB,$BW:$BW,BW10,$BX:$BX,BX10)</f>
        <v>57.618610336629196</v>
      </c>
      <c r="CG10" s="1191">
        <v>0.7</v>
      </c>
      <c r="CH10" s="1191">
        <f ca="1">AVERAGEIF($BW:$BW,BW10,$AC:$AC)</f>
        <v>16.2</v>
      </c>
      <c r="CI10" s="228">
        <f ca="1">AVERAGEIFS($AC:$AC,$BW:$BW,BW10,$BX:$BX,BX10)</f>
        <v>16.2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96.333333333333329</v>
      </c>
      <c r="CR10" s="228">
        <f ca="1">AVERAGEIFS($AF:$AF,$BW:$BW,BW10,$BX:$BX,BX10)</f>
        <v>96.333333333333329</v>
      </c>
      <c r="CS10" s="1191">
        <v>1.3</v>
      </c>
      <c r="CT10" s="1191">
        <v>1.5</v>
      </c>
      <c r="CU10" s="1191">
        <f ca="1">AVERAGEIF($BW:$BW,$BW10,$AH:$AH)</f>
        <v>5.5714285714285712</v>
      </c>
      <c r="CV10" s="228">
        <f ca="1">AVERAGEIFS($AH:$AH,$BW:$BW,$BW10,$BX:$BX,$BX10)</f>
        <v>5.5714285714285712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110.4</v>
      </c>
      <c r="DH10" s="228">
        <f ca="1">AVERAGEIFS($AM:$AM,$BW:$BW,$BW10,$BX:$BX,$BX10)</f>
        <v>110.4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5.1800146171231933</v>
      </c>
      <c r="ER10" s="228">
        <f ca="1">AVERAGEIFS($BH:$BH,$BW:$BW,$BW10,$BX:$BX,$BX10)</f>
        <v>5.1800146171231933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57.618610336629196</v>
      </c>
      <c r="CF11" s="228">
        <f ca="1">AVERAGEIFS($AB:$AB,$BW:$BW,BW11,$BX:$BX,BX11)</f>
        <v>57.618610336629196</v>
      </c>
      <c r="CG11" s="1191">
        <v>0.7</v>
      </c>
      <c r="CH11" s="1191">
        <f ca="1">AVERAGEIF($BW:$BW,BW11,$AC:$AC)</f>
        <v>16.2</v>
      </c>
      <c r="CI11" s="228">
        <f ca="1">AVERAGEIFS($AC:$AC,$BW:$BW,BW11,$BX:$BX,BX11)</f>
        <v>16.2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96.333333333333329</v>
      </c>
      <c r="CR11" s="228">
        <f ca="1">AVERAGEIFS($AF:$AF,$BW:$BW,BW11,$BX:$BX,BX11)</f>
        <v>96.333333333333329</v>
      </c>
      <c r="CS11" s="1191">
        <v>1.3</v>
      </c>
      <c r="CT11" s="1191">
        <v>1.5</v>
      </c>
      <c r="CU11" s="1191">
        <f ca="1">AVERAGEIF($BW:$BW,$BW11,$AH:$AH)</f>
        <v>5.5714285714285712</v>
      </c>
      <c r="CV11" s="228">
        <f ca="1">AVERAGEIFS($AH:$AH,$BW:$BW,$BW11,$BX:$BX,$BX11)</f>
        <v>5.5714285714285712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110.4</v>
      </c>
      <c r="DH11" s="228">
        <f ca="1">AVERAGEIFS($AM:$AM,$BW:$BW,$BW11,$BX:$BX,$BX11)</f>
        <v>110.4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5.1800146171231933</v>
      </c>
      <c r="ER11" s="228">
        <f ca="1">AVERAGEIFS($BH:$BH,$BW:$BW,$BW11,$BX:$BX,$BX11)</f>
        <v>5.1800146171231933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v>
      </c>
      <c r="O12" s="333"/>
      <c r="P12" s="333"/>
      <c r="Q12" s="225">
        <f>IF(ISNUMBER(Datos!P12),Datos!P12,0)</f>
        <v>17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13</v>
      </c>
      <c r="AI12" s="224" t="str">
        <f>IF(ISNUMBER(Datos!CD12),Datos!CD12,"-")</f>
        <v>-</v>
      </c>
      <c r="AJ12" s="224" t="str">
        <f>IF(ISNUMBER(Datos!EN12),Datos!EN12," - ")</f>
        <v xml:space="preserve"> - </v>
      </c>
      <c r="AK12" s="333"/>
      <c r="AL12" s="478"/>
      <c r="AM12" s="224">
        <f>IF(ISNUMBER(Datos!R12),Datos!R12," - ")</f>
        <v>354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15</v>
      </c>
      <c r="BD12" s="228">
        <f>IF(ISNUMBER(Datos!N12),Datos!N12," - ")</f>
        <v>29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0.58252427184466016</v>
      </c>
      <c r="BH12" s="224">
        <f>IF(ISNUMBER(((IF(J_V="SI",Datos!L12/Datos!K12,(Datos!L12+Datos!AB12)/(Datos!K12+Datos!AA12)))*11)/factor_trimestre),((IF(J_V="SI",Datos!L12/Datos!K12,(Datos!L12+Datos!AB12)/(Datos!K12+Datos!AA12)))*11)/factor_trimestre," - ")</f>
        <v>11.850000000000001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-9.2307692307692313E-2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57.618610336629196</v>
      </c>
      <c r="CF12" s="228">
        <f ca="1">AVERAGEIFS($AB:$AB,$BW:$BW,BW12,$BX:$BX,BX12)</f>
        <v>57.618610336629196</v>
      </c>
      <c r="CG12" s="1191">
        <v>0.7</v>
      </c>
      <c r="CH12" s="1191">
        <f ca="1">AVERAGEIF($BW:$BW,BW12,$AC:$AC)</f>
        <v>16.2</v>
      </c>
      <c r="CI12" s="228">
        <f ca="1">AVERAGEIFS($AC:$AC,$BW:$BW,BW12,$BX:$BX,BX12)</f>
        <v>16.2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96.333333333333329</v>
      </c>
      <c r="CR12" s="228">
        <f ca="1">AVERAGEIFS($AF:$AF,$BW:$BW,BW12,$BX:$BX,BX12)</f>
        <v>96.333333333333329</v>
      </c>
      <c r="CS12" s="1191">
        <v>1.3</v>
      </c>
      <c r="CT12" s="1191">
        <v>1.5</v>
      </c>
      <c r="CU12" s="1191">
        <f ca="1">AVERAGEIF($BW:$BW,$BW12,$AH:$AH)</f>
        <v>5.5714285714285712</v>
      </c>
      <c r="CV12" s="228">
        <f ca="1">AVERAGEIFS($AH:$AH,$BW:$BW,$BW12,$BX:$BX,$BX12)</f>
        <v>5.5714285714285712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110.4</v>
      </c>
      <c r="DH12" s="228">
        <f ca="1">AVERAGEIFS($AM:$AM,$BW:$BW,$BW12,$BX:$BX,$BX12)</f>
        <v>110.4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5.1800146171231933</v>
      </c>
      <c r="ER12" s="228">
        <f ca="1">AVERAGEIFS($BH:$BH,$BW:$BW,$BW12,$BX:$BX,$BX12)</f>
        <v>5.1800146171231933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10</v>
      </c>
      <c r="O13" s="897">
        <f t="shared" si="1"/>
        <v>0</v>
      </c>
      <c r="P13" s="897">
        <f t="shared" si="1"/>
        <v>0</v>
      </c>
      <c r="Q13" s="896">
        <f t="shared" si="1"/>
        <v>18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53</v>
      </c>
      <c r="AD13" s="896">
        <f t="shared" si="2"/>
        <v>0</v>
      </c>
      <c r="AE13" s="896">
        <f t="shared" si="2"/>
        <v>0</v>
      </c>
      <c r="AF13" s="896">
        <f t="shared" si="2"/>
        <v>1</v>
      </c>
      <c r="AG13" s="896">
        <f t="shared" si="2"/>
        <v>0</v>
      </c>
      <c r="AH13" s="896">
        <f t="shared" si="2"/>
        <v>13</v>
      </c>
      <c r="AI13" s="896">
        <f t="shared" si="2"/>
        <v>0</v>
      </c>
      <c r="AJ13" s="896">
        <f t="shared" si="2"/>
        <v>0</v>
      </c>
      <c r="AK13" s="896">
        <f t="shared" si="2"/>
        <v>0</v>
      </c>
      <c r="AL13" s="896">
        <f t="shared" si="2"/>
        <v>0</v>
      </c>
      <c r="AM13" s="896">
        <f t="shared" si="2"/>
        <v>356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15</v>
      </c>
      <c r="BD13" s="896">
        <f t="shared" si="2"/>
        <v>29</v>
      </c>
      <c r="BE13" s="896">
        <f t="shared" si="2"/>
        <v>0</v>
      </c>
      <c r="BF13" s="896">
        <f t="shared" si="2"/>
        <v>0</v>
      </c>
      <c r="BG13" s="896">
        <f>IF(ISNUMBER(Datos!K13/Datos!J13),Datos!K13/Datos!J13," - ")</f>
        <v>0.53191489361702127</v>
      </c>
      <c r="BH13" s="900">
        <f>IF(ISNUMBER(((Datos!L13/Datos!K13)*11)/factor_trimestre),((Datos!L13/Datos!K13)*11)/factor_trimestre," - ")</f>
        <v>13.5</v>
      </c>
      <c r="BI13" s="896">
        <f>IF(ISNUMBER('Resol  Asuntos'!D13/NºAsuntos!G13),'Resol  Asuntos'!D13/NºAsuntos!G13," - ")</f>
        <v>0.25</v>
      </c>
      <c r="BJ13" s="896" t="str">
        <f>IF(ISNUMBER(Datos!CI13/Datos!CJ13),Datos!CI13/Datos!CJ13," - ")</f>
        <v xml:space="preserve"> - </v>
      </c>
      <c r="BK13" s="896">
        <f>SUBTOTAL(9,BK8:BK12)</f>
        <v>0</v>
      </c>
      <c r="BL13" s="896" t="str">
        <f>IF(ISNUMBER((I13-AB13+L13)/(F13)),(I13-AB13+L13)/(F13)," - ")</f>
        <v xml:space="preserve"> - </v>
      </c>
      <c r="BM13" s="901">
        <f>SUBTOTAL(9,BM9:BM12)</f>
        <v>0.90769230769230769</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57.618610336629196</v>
      </c>
      <c r="CF15" s="228">
        <f ca="1">AVERAGEIFS($AB:$AB,$BW:$BW,BW15,$BX:$BX,BX15)</f>
        <v>57.618610336629196</v>
      </c>
      <c r="CG15" s="1191">
        <v>0.7</v>
      </c>
      <c r="CH15" s="1191">
        <f ca="1">AVERAGEIF($BW:$BW,BW15,$AC:$AC)</f>
        <v>16.2</v>
      </c>
      <c r="CI15" s="228">
        <f ca="1">AVERAGEIFS($AC:$AC,$BW:$BW,BW15,$BX:$BX,BX15)</f>
        <v>16.2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96.333333333333329</v>
      </c>
      <c r="CR15" s="228">
        <f ca="1">AVERAGEIFS($AF:$AF,$BW:$BW,BW15,$BX:$BX,BX15)</f>
        <v>96.333333333333329</v>
      </c>
      <c r="CS15" s="1191">
        <v>1.3</v>
      </c>
      <c r="CT15" s="1191">
        <v>1.5</v>
      </c>
      <c r="CU15" s="1191">
        <f ca="1">AVERAGEIF($BW:$BW,$BW15,$AH:$AH)</f>
        <v>5.5714285714285712</v>
      </c>
      <c r="CV15" s="228">
        <f ca="1">AVERAGEIFS($AH:$AH,$BW:$BW,$BW15,$BX:$BX,$BX15)</f>
        <v>5.5714285714285712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110.4</v>
      </c>
      <c r="DH15" s="228">
        <f ca="1">AVERAGEIFS($AM:$AM,$BW:$BW,$BW15,$BX:$BX,$BX15)</f>
        <v>110.4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5.1800146171231933</v>
      </c>
      <c r="ER15" s="228">
        <f ca="1">AVERAGEIFS($BH:$BH,$BW:$BW,$BW15,$BX:$BX,$BX15)</f>
        <v>5.1800146171231933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57.618610336629196</v>
      </c>
      <c r="CF16" s="228">
        <f ca="1">AVERAGEIFS($AB:$AB,$BW:$BW,BW16,$BX:$BX,BX16)</f>
        <v>57.618610336629196</v>
      </c>
      <c r="CG16" s="1191">
        <v>0.7</v>
      </c>
      <c r="CH16" s="1191">
        <f ca="1">AVERAGEIF($BW:$BW,BW16,$AC:$AC)</f>
        <v>16.2</v>
      </c>
      <c r="CI16" s="228">
        <f ca="1">AVERAGEIFS($AC:$AC,$BW:$BW,BW16,$BX:$BX,BX16)</f>
        <v>16.2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96.333333333333329</v>
      </c>
      <c r="CR16" s="228">
        <f ca="1">AVERAGEIFS($AF:$AF,$BW:$BW,BW16,$BX:$BX,BX16)</f>
        <v>96.333333333333329</v>
      </c>
      <c r="CS16" s="1191">
        <v>1.3</v>
      </c>
      <c r="CT16" s="1191">
        <v>1.5</v>
      </c>
      <c r="CU16" s="1191">
        <f ca="1">AVERAGEIF($BW:$BW,$BW16,$AH:$AH)</f>
        <v>5.5714285714285712</v>
      </c>
      <c r="CV16" s="228">
        <f ca="1">AVERAGEIFS($AH:$AH,$BW:$BW,$BW16,$BX:$BX,$BX16)</f>
        <v>5.5714285714285712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110.4</v>
      </c>
      <c r="DH16" s="228">
        <f ca="1">AVERAGEIFS($AM:$AM,$BW:$BW,$BW16,$BX:$BX,$BX16)</f>
        <v>110.4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5.1800146171231933</v>
      </c>
      <c r="ER16" s="228">
        <f ca="1">AVERAGEIFS($BH:$BH,$BW:$BW,$BW16,$BX:$BX,$BX16)</f>
        <v>5.1800146171231933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244</v>
      </c>
      <c r="G17" s="596">
        <f>IF(ISNUMBER(IF(D_I="SI",Datos!I17,Datos!I17+Datos!AC17)),IF(D_I="SI",Datos!I17,Datos!I17+Datos!AC17)," - ")</f>
        <v>236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151</v>
      </c>
      <c r="AC17" s="224">
        <f>IF(ISNUMBER(Datos!Q17),Datos!Q17," - ")</f>
        <v>1</v>
      </c>
      <c r="AD17" s="224"/>
      <c r="AE17" s="224"/>
      <c r="AF17" s="224">
        <f>IF(ISNUMBER(IF(D_I="SI",Datos!L17,Datos!L17+Datos!AF17)),IF(D_I="SI",Datos!L17,Datos!L17+Datos!AF17)," - ")</f>
        <v>269</v>
      </c>
      <c r="AG17" s="333"/>
      <c r="AH17" s="224"/>
      <c r="AI17" s="224"/>
      <c r="AJ17" s="224"/>
      <c r="AK17" s="333"/>
      <c r="AL17" s="478"/>
      <c r="AM17" s="224">
        <f>IF(ISNUMBER(Datos!R17),Datos!R17," - ")</f>
        <v>12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26</v>
      </c>
      <c r="BD17" s="228">
        <f>IF(ISNUMBER(Datos!N17),Datos!N17," - ")</f>
        <v>69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0.85795454545454541</v>
      </c>
      <c r="BH17" s="224">
        <f>IF(ISNUMBER(((IF(D_I="SI",Datos!L17/Datos!K17,(Datos!L17+Datos!AF17)/(Datos!K17+Datos!AE17)))*11)/factor_trimestre),((IF(D_I="SI",Datos!L17/Datos!K17,(Datos!L17+Datos!AF17)/(Datos!K17+Datos!AE17)))*11)/factor_trimestre," - ")</f>
        <v>5.3443708609271532</v>
      </c>
      <c r="BI17" s="242">
        <f>IF(ISNUMBER('Resol  Asuntos'!D17/NºAsuntos!G17),'Resol  Asuntos'!D17/NºAsuntos!G17," - ")</f>
        <v>0.17218543046357615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57.618610336629196</v>
      </c>
      <c r="CF17" s="228">
        <f ca="1">AVERAGEIFS($AB:$AB,$BW:$BW,BW17,$BX:$BX,BX17)</f>
        <v>57.618610336629196</v>
      </c>
      <c r="CG17" s="1191">
        <v>0.7</v>
      </c>
      <c r="CH17" s="1191">
        <f ca="1">AVERAGEIF($BW:$BW,BW17,$AC:$AC)</f>
        <v>16.2</v>
      </c>
      <c r="CI17" s="228">
        <f ca="1">AVERAGEIFS($AC:$AC,$BW:$BW,BW17,$BX:$BX,BX17)</f>
        <v>16.2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96.333333333333329</v>
      </c>
      <c r="CR17" s="228">
        <f ca="1">AVERAGEIFS($AF:$AF,$BW:$BW,BW17,$BX:$BX,BX17)</f>
        <v>96.333333333333329</v>
      </c>
      <c r="CS17" s="1191">
        <v>1.3</v>
      </c>
      <c r="CT17" s="1191">
        <v>1.5</v>
      </c>
      <c r="CU17" s="1191">
        <f ca="1">AVERAGEIF($BW:$BW,$BW17,$AH:$AH)</f>
        <v>5.5714285714285712</v>
      </c>
      <c r="CV17" s="228">
        <f ca="1">AVERAGEIFS($AH:$AH,$BW:$BW,$BW17,$BX:$BX,$BX17)</f>
        <v>5.5714285714285712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110.4</v>
      </c>
      <c r="DH17" s="228">
        <f ca="1">AVERAGEIFS($AM:$AM,$BW:$BW,$BW17,$BX:$BX,$BX17)</f>
        <v>110.4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5.1800146171231933</v>
      </c>
      <c r="ER17" s="228">
        <f ca="1">AVERAGEIFS($BH:$BH,$BW:$BW,$BW17,$BX:$BX,$BX17)</f>
        <v>5.1800146171231933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13</v>
      </c>
      <c r="AC18" s="224">
        <f>IF(ISNUMBER(Datos!Q18),Datos!Q18," - ")</f>
        <v>0</v>
      </c>
      <c r="AD18" s="224"/>
      <c r="AE18" s="224"/>
      <c r="AF18" s="224">
        <f>IF(ISNUMBER(Datos!L18),Datos!L18,"-")</f>
        <v>19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0.72222222222222221</v>
      </c>
      <c r="BH18" s="224">
        <f>IF(ISNUMBER(((IF(D_I="SI",Datos!L18/Datos!K18,(Datos!L18+Datos!AF18)/(Datos!K18+Datos!AE18)))*11)/factor_trimestre),((IF(D_I="SI",Datos!L18/Datos!K18,(Datos!L18+Datos!AF18)/(Datos!K18+Datos!AE18)))*11)/factor_trimestre," - ")</f>
        <v>4.384615384615385</v>
      </c>
      <c r="BI18" s="242">
        <f>IF(ISNUMBER('Resol  Asuntos'!D18/NºAsuntos!G18),'Resol  Asuntos'!D18/NºAsuntos!G18," - ")</f>
        <v>7.6923076923076927E-2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57.618610336629196</v>
      </c>
      <c r="CF18" s="228">
        <f ca="1">AVERAGEIFS($AB:$AB,$BW:$BW,BW18,$BX:$BX,BX18)</f>
        <v>57.618610336629196</v>
      </c>
      <c r="CG18" s="1191">
        <v>0.7</v>
      </c>
      <c r="CH18" s="1191">
        <f ca="1">AVERAGEIF($BW:$BW,BW18,$AC:$AC)</f>
        <v>16.2</v>
      </c>
      <c r="CI18" s="228">
        <f ca="1">AVERAGEIFS($AC:$AC,$BW:$BW,BW18,$BX:$BX,BX18)</f>
        <v>16.2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96.333333333333329</v>
      </c>
      <c r="CR18" s="228">
        <f ca="1">AVERAGEIFS($AF:$AF,$BW:$BW,BW18,$BX:$BX,BX18)</f>
        <v>96.333333333333329</v>
      </c>
      <c r="CS18" s="1191">
        <v>1.3</v>
      </c>
      <c r="CT18" s="1191">
        <v>1.5</v>
      </c>
      <c r="CU18" s="1191">
        <f ca="1">AVERAGEIF($BW:$BW,$BW18,$AH:$AH)</f>
        <v>5.5714285714285712</v>
      </c>
      <c r="CV18" s="228">
        <f ca="1">AVERAGEIFS($AH:$AH,$BW:$BW,$BW18,$BX:$BX,$BX18)</f>
        <v>5.5714285714285712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110.4</v>
      </c>
      <c r="DH18" s="228">
        <f ca="1">AVERAGEIFS($AM:$AM,$BW:$BW,$BW18,$BX:$BX,$BX18)</f>
        <v>110.4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5.1800146171231933</v>
      </c>
      <c r="ER18" s="228">
        <f ca="1">AVERAGEIFS($BH:$BH,$BW:$BW,$BW18,$BX:$BX,$BX18)</f>
        <v>5.1800146171231933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244</v>
      </c>
      <c r="G19" s="895">
        <f>SUBTOTAL(9,G15:G18)</f>
        <v>251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164</v>
      </c>
      <c r="AC19" s="896">
        <f t="shared" si="5"/>
        <v>1</v>
      </c>
      <c r="AD19" s="896">
        <f t="shared" si="5"/>
        <v>0</v>
      </c>
      <c r="AE19" s="896">
        <f t="shared" si="5"/>
        <v>0</v>
      </c>
      <c r="AF19" s="896">
        <f t="shared" si="5"/>
        <v>288</v>
      </c>
      <c r="AG19" s="896">
        <f t="shared" si="5"/>
        <v>0</v>
      </c>
      <c r="AH19" s="896">
        <f t="shared" si="5"/>
        <v>0</v>
      </c>
      <c r="AI19" s="896">
        <f t="shared" si="5"/>
        <v>0</v>
      </c>
      <c r="AJ19" s="896">
        <f t="shared" si="5"/>
        <v>0</v>
      </c>
      <c r="AK19" s="896">
        <f t="shared" si="5"/>
        <v>0</v>
      </c>
      <c r="AL19" s="896">
        <f t="shared" si="5"/>
        <v>0</v>
      </c>
      <c r="AM19" s="896">
        <f t="shared" si="5"/>
        <v>12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27</v>
      </c>
      <c r="BD19" s="896">
        <f t="shared" si="5"/>
        <v>76</v>
      </c>
      <c r="BE19" s="896">
        <f t="shared" si="5"/>
        <v>0</v>
      </c>
      <c r="BF19" s="896">
        <f t="shared" si="5"/>
        <v>0</v>
      </c>
      <c r="BG19" s="896">
        <f>IF(ISNUMBER(Datos!K19/Datos!J19),Datos!K19/Datos!J19," - ")</f>
        <v>0.84536082474226804</v>
      </c>
      <c r="BH19" s="900">
        <f>IF(ISNUMBER(((Datos!L19/Datos!K19)*11)/factor_trimestre),((Datos!L19/Datos!K19)*11)/factor_trimestre," - ")</f>
        <v>5.2682926829268295</v>
      </c>
      <c r="BI19" s="896">
        <f>SUBTOTAL(9,BI15:BI18)</f>
        <v>0.24910850738665308</v>
      </c>
      <c r="BJ19" s="896">
        <f>SUBTOTAL(9,BJ15:BJ18)</f>
        <v>0</v>
      </c>
      <c r="BK19" s="896">
        <f>SUBTOTAL(9,BK15:BK18)</f>
        <v>0</v>
      </c>
      <c r="BL19" s="896">
        <f>IF(ISNUMBER((I19-AB19+L19)/(F19)),(I19-AB19+L19)/(F19)," - ")</f>
        <v>-0.67213114754098358</v>
      </c>
      <c r="BM19" s="902">
        <f>IF(ISNUMBER((Datos!P19-Datos!Q19)/(Datos!R19-Datos!P19+Datos!Q19)),(Datos!P19-Datos!Q19)/(Datos!R19-Datos!P19+Datos!Q19)," - ")</f>
        <v>-7.6923076923076927E-2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244</v>
      </c>
      <c r="G20" s="817">
        <f t="shared" si="7"/>
        <v>251</v>
      </c>
      <c r="H20" s="819">
        <f t="shared" si="7"/>
        <v>0</v>
      </c>
      <c r="I20" s="817">
        <f t="shared" si="7"/>
        <v>0</v>
      </c>
      <c r="J20" s="819">
        <f t="shared" si="7"/>
        <v>0</v>
      </c>
      <c r="K20" s="819">
        <f t="shared" si="7"/>
        <v>0</v>
      </c>
      <c r="L20" s="878">
        <f t="shared" si="7"/>
        <v>0</v>
      </c>
      <c r="M20" s="878">
        <f t="shared" si="7"/>
        <v>0</v>
      </c>
      <c r="N20" s="878">
        <f t="shared" si="7"/>
        <v>10</v>
      </c>
      <c r="O20" s="878">
        <f t="shared" si="7"/>
        <v>0</v>
      </c>
      <c r="P20" s="878">
        <f t="shared" si="7"/>
        <v>0</v>
      </c>
      <c r="Q20" s="819">
        <f t="shared" si="7"/>
        <v>18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164</v>
      </c>
      <c r="AC20" s="818">
        <f t="shared" si="8"/>
        <v>54</v>
      </c>
      <c r="AD20" s="818">
        <f t="shared" si="8"/>
        <v>0</v>
      </c>
      <c r="AE20" s="818">
        <f t="shared" si="8"/>
        <v>0</v>
      </c>
      <c r="AF20" s="825">
        <f t="shared" si="8"/>
        <v>289</v>
      </c>
      <c r="AG20" s="825">
        <f t="shared" si="8"/>
        <v>0</v>
      </c>
      <c r="AH20" s="825">
        <f t="shared" si="8"/>
        <v>13</v>
      </c>
      <c r="AI20" s="825">
        <f t="shared" si="8"/>
        <v>0</v>
      </c>
      <c r="AJ20" s="818">
        <f t="shared" si="8"/>
        <v>0</v>
      </c>
      <c r="AK20" s="825">
        <f t="shared" si="8"/>
        <v>0</v>
      </c>
      <c r="AL20" s="825">
        <f t="shared" si="8"/>
        <v>0</v>
      </c>
      <c r="AM20" s="825">
        <f t="shared" si="8"/>
        <v>368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42</v>
      </c>
      <c r="BD20" s="817">
        <f t="shared" si="8"/>
        <v>105</v>
      </c>
      <c r="BE20" s="817">
        <f t="shared" si="8"/>
        <v>0</v>
      </c>
      <c r="BF20" s="827">
        <f t="shared" si="8"/>
        <v>0</v>
      </c>
      <c r="BG20" s="912">
        <f>IF(ISNUMBER(Datos!K20/Datos!J20),Datos!K20/Datos!J20," - ")</f>
        <v>0.74305555555555558</v>
      </c>
      <c r="BH20" s="912">
        <f>IF(ISNUMBER(((Datos!L20/Datos!K20)*11)/factor_trimestre),((Datos!L20/Datos!K20)*11)/factor_trimestre," - ")</f>
        <v>7.1915887850467293</v>
      </c>
      <c r="BI20" s="810">
        <f>IF(ISNUMBER(Datos!J20/Datos!I20),Datos!J20/Datos!I20," - ")</f>
        <v>0.66666666666666663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-0.67213114754098358</v>
      </c>
      <c r="BM20" s="886">
        <f>IF(ISNUMBER((Datos!P20-Datos!Q20+R20)/(Datos!R20-Datos!P20+Datos!Q20-R20)),(Datos!P20-Datos!Q20+R20)/(Datos!R20-Datos!P20+Datos!Q20-R20)," - ")</f>
        <v>-8.9108910891089105E-2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100.4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140.87346568226869</v>
      </c>
      <c r="G22" s="551">
        <f>IF(ISNUMBER(STDEV(G8:G19)),STDEV(G8:G19),"-")</f>
        <v>130.88277197553541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84.186103366291988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11.661903789690601</v>
      </c>
      <c r="BD22" s="550"/>
      <c r="BE22" s="550">
        <f>IF(ISNUMBER(STDEV(BE8:BE19)),STDEV(BE8:BE19),"-")</f>
        <v>0</v>
      </c>
      <c r="BF22" s="555">
        <f>IF(ISNUMBER(STDEV(BF8:BF19)),STDEV(BF8:BF19),"-")</f>
        <v>0</v>
      </c>
      <c r="BG22" s="772">
        <f>IF(ISNUMBER(STDEV(BG8:BG19)),STDEV(BG8:BG19),"-")</f>
        <v>0.31812616091642887</v>
      </c>
      <c r="BH22" s="773">
        <f>IF(ISNUMBER(STDEV(BH8:BH19)),STDEV(BH8:BH19),"-")</f>
        <v>4.2612784577158287</v>
      </c>
      <c r="BI22" s="248">
        <f>IF(ISNUMBER(STDEV(BI8:BI19)),STDEV(BI8:BI19),"-")</f>
        <v>8.1981411268200272E-2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i6N5KiWllAWE3UeefcBJ2/DhwjwG+TZHyRqNBVjO8S1g95Kp0NJHzGqhq84J0/yzU38yQB7Ud/4oePy6X1yx7g==" saltValue="KjBVvUL41MUBeRbFi3XmR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SORIA  Resumenes por Partidos Judiciales  ALMAZAN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0.17677669529663689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A+hABVjKzl8K777FulyCYNAP1ZNno5ODm4wsEW4r9+OFnIobWLLnEptmlOlzxHzRfeF3+nA60m3jyRnxk972kA==" saltValue="2HIWTsoB5HmtMq8bEg1rG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SORIA</v>
      </c>
      <c r="C4" s="787" t="str">
        <f>IF(Criterios!B11=0,"",Criterios!B11)</f>
        <v>ALMAZAN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H+JfC+BN0cI1UVEUajOWWb5+udpEeZ7brggRaRt+vOcfutgq6SUi/muiz4B5uewFF0P+4tDILdn/yPsVkQP/PQ==" saltValue="kBFXGs3juPrYHPTIYwQO4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2026-10-06T13:00:45Z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